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threadedComments/threadedComment2.xml" ContentType="application/vnd.ms-excel.threadedcomments+xml"/>
  <Override PartName="/xl/comments17.xml" ContentType="application/vnd.openxmlformats-officedocument.spreadsheetml.comments+xml"/>
  <Override PartName="/xl/comments18.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xr:revisionPtr revIDLastSave="0" documentId="8_{60579427-B0E2-4FFE-B6BE-4C72EAF94649}" xr6:coauthVersionLast="47" xr6:coauthVersionMax="47" xr10:uidLastSave="{00000000-0000-0000-0000-000000000000}"/>
  <bookViews>
    <workbookView xWindow="-120" yWindow="-120" windowWidth="20730" windowHeight="11160" firstSheet="7" activeTab="7" xr2:uid="{00000000-000D-0000-FFFF-FFFF00000000}"/>
  </bookViews>
  <sheets>
    <sheet name="GERENCIA" sheetId="21" r:id="rId1"/>
    <sheet name="PLANEACION" sheetId="13" r:id="rId2"/>
    <sheet name="SUB ACU Y ALC ." sheetId="24" r:id="rId3"/>
    <sheet name="SUB ASEO" sheetId="14" r:id="rId4"/>
    <sheet name="FACTURACIÓN" sheetId="19" r:id="rId5"/>
    <sheet name="COMERCIAL" sheetId="20" r:id="rId6"/>
    <sheet name="JURIDICA Y CONTRATACIÓN" sheetId="12" r:id="rId7"/>
    <sheet name="SERVICIO AL CLIENTE" sheetId="18" r:id="rId8"/>
    <sheet name="PRESUPUESTO" sheetId="11" r:id="rId9"/>
    <sheet name="NÓMINA" sheetId="10" r:id="rId10"/>
    <sheet name="CONTABILIDAD" sheetId="9" r:id="rId11"/>
    <sheet name="SG-SST" sheetId="22" r:id="rId12"/>
    <sheet name="TESORERIA" sheetId="8" r:id="rId13"/>
    <sheet name="SISTEMAS" sheetId="7" r:id="rId14"/>
    <sheet name="ALMACÉN" sheetId="16" r:id="rId15"/>
    <sheet name="ARCHIVO Y CORRESPONDENCIA" sheetId="2" r:id="rId16"/>
    <sheet name="CONTROL INTERNO" sheetId="17" r:id="rId17"/>
    <sheet name="Hoja Formulación" sheetId="3" r:id="rId18"/>
    <sheet name="Cumplimiento por trimestre" sheetId="25" r:id="rId19"/>
    <sheet name="Cumplimiento PGE" sheetId="26" r:id="rId20"/>
    <sheet name="Cumplimiento ODS" sheetId="27" r:id="rId21"/>
    <sheet name="Cumplimiento Políticas MIPG" sheetId="28" r:id="rId22"/>
  </sheets>
  <definedNames>
    <definedName name="_xlnm._FilterDatabase" localSheetId="7" hidden="1">'SERVICIO AL CLIENTE'!$A$3:$AA$11</definedName>
    <definedName name="_xlnm._FilterDatabase" localSheetId="13" hidden="1">SISTEMAS!$A$3:$AA$12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9" l="1"/>
  <c r="K6" i="19"/>
  <c r="C20" i="25"/>
  <c r="E4" i="25"/>
  <c r="N16" i="26"/>
  <c r="N15" i="26"/>
  <c r="N25" i="22"/>
  <c r="N14" i="26"/>
  <c r="N11" i="26"/>
  <c r="N10" i="26"/>
  <c r="M25" i="22"/>
  <c r="N16" i="14"/>
  <c r="P6" i="24"/>
  <c r="N9" i="26"/>
  <c r="P19" i="9"/>
  <c r="O17" i="2"/>
  <c r="N8" i="26"/>
  <c r="H6" i="26"/>
  <c r="Q8" i="26"/>
  <c r="Q9" i="26"/>
  <c r="Q10" i="26"/>
  <c r="Q11" i="26"/>
  <c r="Q12" i="26"/>
  <c r="T12" i="26" s="1"/>
  <c r="Q13" i="26"/>
  <c r="T13" i="26" s="1"/>
  <c r="Q14" i="26"/>
  <c r="Q15" i="26"/>
  <c r="Q16" i="26"/>
  <c r="Q6" i="26"/>
  <c r="N7" i="26"/>
  <c r="Q7" i="26" s="1"/>
  <c r="P12" i="24"/>
  <c r="P11" i="24"/>
  <c r="R12" i="24"/>
  <c r="R11" i="24"/>
  <c r="R10" i="24"/>
  <c r="R9" i="24"/>
  <c r="R7" i="24"/>
  <c r="R6" i="24"/>
  <c r="Q6" i="19"/>
  <c r="Q11" i="9"/>
  <c r="F19" i="25"/>
  <c r="F15" i="25"/>
  <c r="F11" i="25"/>
  <c r="F12" i="25"/>
  <c r="F8" i="25"/>
  <c r="F5" i="25"/>
  <c r="F3" i="25"/>
  <c r="Y8" i="17"/>
  <c r="Y6" i="17"/>
  <c r="R7" i="17"/>
  <c r="K11" i="13"/>
  <c r="Q17" i="26"/>
  <c r="N17" i="26"/>
  <c r="Y6" i="22"/>
  <c r="J20" i="18"/>
  <c r="H17" i="18"/>
  <c r="I3" i="25"/>
  <c r="O11" i="10"/>
  <c r="O11" i="12"/>
  <c r="M7" i="21"/>
  <c r="O7" i="21"/>
  <c r="Q7" i="21"/>
  <c r="M11" i="13"/>
  <c r="O11" i="13"/>
  <c r="Q11" i="13"/>
  <c r="N15" i="24"/>
  <c r="P15" i="24"/>
  <c r="R15" i="24"/>
  <c r="F4" i="25" s="1"/>
  <c r="M12" i="14"/>
  <c r="O12" i="14"/>
  <c r="Q12" i="14"/>
  <c r="F6" i="25" s="1"/>
  <c r="M8" i="19"/>
  <c r="O8" i="19"/>
  <c r="Q8" i="19"/>
  <c r="F7" i="25" s="1"/>
  <c r="M12" i="20"/>
  <c r="O12" i="20"/>
  <c r="Q12" i="20"/>
  <c r="F9" i="25" s="1"/>
  <c r="M11" i="12"/>
  <c r="Q11" i="12"/>
  <c r="M11" i="18"/>
  <c r="O11" i="18"/>
  <c r="Q11" i="18"/>
  <c r="F10" i="25" s="1"/>
  <c r="M7" i="11"/>
  <c r="O7" i="11"/>
  <c r="Q7" i="11"/>
  <c r="M8" i="17"/>
  <c r="O8" i="17"/>
  <c r="Q8" i="17"/>
  <c r="E19" i="25"/>
  <c r="M10" i="2"/>
  <c r="O10" i="2"/>
  <c r="Q10" i="2"/>
  <c r="F18" i="25" s="1"/>
  <c r="E18" i="25"/>
  <c r="M9" i="16"/>
  <c r="O9" i="16"/>
  <c r="Q9" i="16"/>
  <c r="F17" i="25" s="1"/>
  <c r="E17" i="25"/>
  <c r="M12" i="7"/>
  <c r="O12" i="7"/>
  <c r="Q12" i="7"/>
  <c r="F16" i="25" s="1"/>
  <c r="E16" i="25"/>
  <c r="M10" i="8"/>
  <c r="O10" i="8"/>
  <c r="Q10" i="8"/>
  <c r="E15" i="25"/>
  <c r="M20" i="22"/>
  <c r="O20" i="22"/>
  <c r="Q20" i="22"/>
  <c r="F14" i="25" s="1"/>
  <c r="E14" i="25"/>
  <c r="F13" i="25"/>
  <c r="M11" i="9"/>
  <c r="O11" i="9"/>
  <c r="K11" i="9"/>
  <c r="E13" i="25"/>
  <c r="M11" i="10"/>
  <c r="Q11" i="10"/>
  <c r="E12" i="25"/>
  <c r="E10" i="25"/>
  <c r="E11" i="25"/>
  <c r="E9" i="25"/>
  <c r="E8" i="25"/>
  <c r="E7" i="25"/>
  <c r="E6" i="25"/>
  <c r="E5" i="25"/>
  <c r="E3" i="25"/>
  <c r="F6" i="27"/>
  <c r="H16" i="26"/>
  <c r="H15" i="26"/>
  <c r="H14" i="26"/>
  <c r="H11" i="26"/>
  <c r="H10" i="26"/>
  <c r="H9" i="26"/>
  <c r="H8" i="26"/>
  <c r="H7" i="26"/>
  <c r="T7" i="26" s="1"/>
  <c r="H13" i="28"/>
  <c r="E24" i="28"/>
  <c r="E9" i="27"/>
  <c r="E16" i="26"/>
  <c r="E15" i="26"/>
  <c r="E14" i="26"/>
  <c r="E11" i="26"/>
  <c r="K7" i="21"/>
  <c r="E10" i="26"/>
  <c r="L15" i="24"/>
  <c r="E9" i="26"/>
  <c r="K10" i="8"/>
  <c r="X20" i="19"/>
  <c r="I18" i="13"/>
  <c r="E8" i="26"/>
  <c r="D17" i="26"/>
  <c r="E7" i="26"/>
  <c r="E6" i="26"/>
  <c r="E17" i="26" s="1"/>
  <c r="D20" i="25"/>
  <c r="J3" i="25" s="1"/>
  <c r="F20" i="25"/>
  <c r="L3" i="25" s="1"/>
  <c r="G5" i="25"/>
  <c r="G6" i="25"/>
  <c r="G7" i="25"/>
  <c r="G8" i="25"/>
  <c r="G9" i="25"/>
  <c r="G10" i="25"/>
  <c r="G11" i="25"/>
  <c r="G12" i="25"/>
  <c r="G13" i="25"/>
  <c r="G14" i="25"/>
  <c r="G15" i="25"/>
  <c r="G16" i="25"/>
  <c r="G17" i="25"/>
  <c r="G18" i="25"/>
  <c r="G19" i="25"/>
  <c r="G3" i="25"/>
  <c r="K8" i="17"/>
  <c r="K10" i="2"/>
  <c r="K9" i="16"/>
  <c r="Y7" i="16"/>
  <c r="Y8" i="16"/>
  <c r="Y6" i="16"/>
  <c r="Y9" i="16" s="1"/>
  <c r="K12" i="7"/>
  <c r="Y7" i="22"/>
  <c r="Y8" i="22"/>
  <c r="Y9" i="22"/>
  <c r="Y10" i="22"/>
  <c r="Y11" i="22"/>
  <c r="Y12" i="22"/>
  <c r="Y13" i="22"/>
  <c r="Y14" i="22"/>
  <c r="Y15" i="22"/>
  <c r="Y16" i="22"/>
  <c r="Y17" i="22"/>
  <c r="Y18" i="22"/>
  <c r="Y19" i="22"/>
  <c r="K20" i="22"/>
  <c r="K14" i="22"/>
  <c r="M8" i="18"/>
  <c r="Y7" i="10"/>
  <c r="Y8" i="10"/>
  <c r="Y9" i="10"/>
  <c r="Y6" i="10"/>
  <c r="K11" i="10"/>
  <c r="K7" i="11"/>
  <c r="K11" i="18"/>
  <c r="K11" i="12"/>
  <c r="K12" i="20"/>
  <c r="K12" i="14"/>
  <c r="Z13" i="24"/>
  <c r="Z14" i="24"/>
  <c r="L14" i="24"/>
  <c r="L13" i="24"/>
  <c r="L9" i="24"/>
  <c r="L6" i="24"/>
  <c r="Y10" i="10"/>
  <c r="K6" i="14"/>
  <c r="Z7" i="2"/>
  <c r="Y14" i="24"/>
  <c r="X8" i="14"/>
  <c r="Y8" i="14"/>
  <c r="Z12" i="24"/>
  <c r="Y12" i="24"/>
  <c r="Z11" i="24"/>
  <c r="Y11" i="24"/>
  <c r="Z10" i="24"/>
  <c r="Y10" i="24"/>
  <c r="Z9" i="24"/>
  <c r="Y9" i="24"/>
  <c r="Z8" i="24"/>
  <c r="Y8" i="24"/>
  <c r="Z7" i="24"/>
  <c r="Y7" i="24"/>
  <c r="Z6" i="24"/>
  <c r="Z15" i="24" s="1"/>
  <c r="Y6" i="24"/>
  <c r="J7" i="19"/>
  <c r="Y9" i="12"/>
  <c r="Y8" i="12"/>
  <c r="Y6" i="21"/>
  <c r="Z6" i="2"/>
  <c r="X8" i="2"/>
  <c r="Z8" i="2"/>
  <c r="X9" i="22"/>
  <c r="X8" i="22"/>
  <c r="X7" i="22"/>
  <c r="X6" i="22"/>
  <c r="X6" i="21"/>
  <c r="Y11" i="20"/>
  <c r="X11" i="20"/>
  <c r="Y10" i="20"/>
  <c r="X10" i="20"/>
  <c r="Y9" i="20"/>
  <c r="X9" i="20"/>
  <c r="Y8" i="20"/>
  <c r="X8" i="20"/>
  <c r="Y7" i="20"/>
  <c r="X7" i="20"/>
  <c r="Y6" i="20"/>
  <c r="Y12" i="20" s="1"/>
  <c r="X6" i="20"/>
  <c r="Y7" i="19"/>
  <c r="X7" i="19"/>
  <c r="Y6" i="19"/>
  <c r="Y8" i="19" s="1"/>
  <c r="X6" i="19"/>
  <c r="Y10" i="18"/>
  <c r="X10" i="18"/>
  <c r="Y9" i="18"/>
  <c r="X9" i="18"/>
  <c r="Y8" i="18"/>
  <c r="X8" i="18"/>
  <c r="Y7" i="18"/>
  <c r="X7" i="18"/>
  <c r="Y6" i="18"/>
  <c r="Y11" i="18" s="1"/>
  <c r="X6" i="18"/>
  <c r="Y7" i="17"/>
  <c r="X7" i="17"/>
  <c r="X6" i="17"/>
  <c r="X8" i="16"/>
  <c r="X7" i="16"/>
  <c r="X6" i="16"/>
  <c r="Y11" i="14"/>
  <c r="X11" i="14"/>
  <c r="Y10" i="14"/>
  <c r="X10" i="14"/>
  <c r="Y9" i="14"/>
  <c r="X9" i="14"/>
  <c r="Y7" i="14"/>
  <c r="X7" i="14"/>
  <c r="Y6" i="14"/>
  <c r="X6" i="14"/>
  <c r="Y10" i="13"/>
  <c r="X10" i="13"/>
  <c r="Y9" i="13"/>
  <c r="X9" i="13"/>
  <c r="Y8" i="13"/>
  <c r="X8" i="13"/>
  <c r="Y7" i="13"/>
  <c r="X7" i="13"/>
  <c r="Y6" i="13"/>
  <c r="X6" i="13"/>
  <c r="Y10" i="12"/>
  <c r="Y7" i="12"/>
  <c r="Y6" i="12"/>
  <c r="Y5" i="12"/>
  <c r="Y11" i="12" s="1"/>
  <c r="Y6" i="11"/>
  <c r="Y7" i="11" s="1"/>
  <c r="X6" i="11"/>
  <c r="X10" i="10"/>
  <c r="X9" i="10"/>
  <c r="X8" i="10"/>
  <c r="X7" i="10"/>
  <c r="X6" i="10"/>
  <c r="Y11" i="9"/>
  <c r="X11" i="9"/>
  <c r="Y10" i="9"/>
  <c r="X10" i="9"/>
  <c r="Y9" i="9"/>
  <c r="X9" i="9"/>
  <c r="Y8" i="9"/>
  <c r="X8" i="9"/>
  <c r="Y7" i="9"/>
  <c r="X7" i="9"/>
  <c r="Y6" i="9"/>
  <c r="X6" i="9"/>
  <c r="Y9" i="8"/>
  <c r="X9" i="8"/>
  <c r="Y8" i="8"/>
  <c r="X8" i="8"/>
  <c r="Y7" i="8"/>
  <c r="X7" i="8"/>
  <c r="Y6" i="8"/>
  <c r="Y10" i="8" s="1"/>
  <c r="X6" i="8"/>
  <c r="Y11" i="7"/>
  <c r="X11" i="7"/>
  <c r="Y10" i="7"/>
  <c r="X10" i="7"/>
  <c r="Y9" i="7"/>
  <c r="X9" i="7"/>
  <c r="Y8" i="7"/>
  <c r="X8" i="7"/>
  <c r="Y7" i="7"/>
  <c r="X7" i="7"/>
  <c r="Y6" i="7"/>
  <c r="Y12" i="7" s="1"/>
  <c r="X6" i="7"/>
  <c r="T16" i="26" l="1"/>
  <c r="T15" i="26"/>
  <c r="T14" i="26"/>
  <c r="T11" i="26"/>
  <c r="T10" i="26"/>
  <c r="T9" i="26"/>
  <c r="T8" i="26"/>
  <c r="T6" i="26"/>
  <c r="T17" i="26" s="1"/>
  <c r="E20" i="25"/>
  <c r="K3" i="25" s="1"/>
  <c r="G4" i="25"/>
  <c r="M3" i="25"/>
  <c r="Y20" i="22"/>
  <c r="Y12" i="14"/>
  <c r="Y11" i="10"/>
  <c r="F23" i="28"/>
  <c r="F22" i="28"/>
  <c r="F21" i="28"/>
  <c r="F20" i="28"/>
  <c r="F19" i="28"/>
  <c r="F18" i="28"/>
  <c r="F17" i="28"/>
  <c r="F16" i="28"/>
  <c r="F15" i="28"/>
  <c r="F14" i="28"/>
  <c r="F13" i="28"/>
  <c r="F12" i="28"/>
  <c r="F11" i="28"/>
  <c r="F10" i="28"/>
  <c r="F9" i="28"/>
  <c r="F8" i="28"/>
  <c r="F7" i="28"/>
  <c r="F6" i="28"/>
  <c r="F24" i="28" s="1"/>
  <c r="Y11" i="13"/>
  <c r="F8" i="27"/>
  <c r="F7" i="27"/>
  <c r="F9" i="27"/>
  <c r="G20" i="25"/>
  <c r="Z6" i="21"/>
  <c r="Y7" i="21"/>
  <c r="X9" i="2"/>
  <c r="Z9" i="2"/>
  <c r="Z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84731AC8-A1DC-4661-A3AE-E73894FA1E93}">
      <text>
        <r>
          <rPr>
            <b/>
            <sz val="9"/>
            <color indexed="81"/>
            <rFont val="Tahoma"/>
            <charset val="1"/>
          </rPr>
          <t>Enumere y describa las actividades a ejecutar durante la vigencia 2023.</t>
        </r>
      </text>
    </comment>
    <comment ref="C3" authorId="0" shapeId="0" xr:uid="{1C4AFDF2-54DE-4E35-80CF-F865FCBD955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A4770E4E-8F7F-4BF6-8254-BF34569D5E47}">
      <text>
        <r>
          <rPr>
            <b/>
            <sz val="9"/>
            <color indexed="81"/>
            <rFont val="Tahoma"/>
            <charset val="1"/>
          </rPr>
          <t>Verifique si la actividad hace parte de los siguientes escenarios</t>
        </r>
      </text>
    </comment>
    <comment ref="J3" authorId="0" shapeId="0" xr:uid="{7FFB2EE9-CBCC-4743-9F9A-E48ACC62BC77}">
      <text>
        <r>
          <rPr>
            <sz val="9"/>
            <color indexed="81"/>
            <rFont val="Tahoma"/>
            <charset val="1"/>
          </rPr>
          <t xml:space="preserve">Indique el responsable del proyecto estratégico.
</t>
        </r>
      </text>
    </comment>
    <comment ref="S3" authorId="0" shapeId="0" xr:uid="{5AE5237C-1718-4943-87FF-9BF28F8881A9}">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2CF61B8A-BAD4-4E0A-AD48-17C7142734EC}">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8CECC1BE-5A40-4225-B208-45242225BE2B}">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520C63E8-E7C9-48CB-BB12-1950CEB4CF78}">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DA232D3D-010B-47D0-9B19-27B6C316145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FB0B271D-E5F1-46A3-8058-B7AD6888DEF6}">
      <text>
        <r>
          <rPr>
            <b/>
            <sz val="9"/>
            <color indexed="81"/>
            <rFont val="Tahoma"/>
            <family val="2"/>
          </rPr>
          <t>Objetivos de Desarrollo Sostenible</t>
        </r>
      </text>
    </comment>
    <comment ref="E4" authorId="0" shapeId="0" xr:uid="{28A5AA3C-FB15-4B92-A209-166B85EDC327}">
      <text>
        <r>
          <rPr>
            <b/>
            <sz val="9"/>
            <color indexed="81"/>
            <rFont val="Tahoma"/>
            <family val="2"/>
          </rPr>
          <t>A qué meta del plan de desarrollo está asociada la actividad</t>
        </r>
      </text>
    </comment>
    <comment ref="F4" authorId="0" shapeId="0" xr:uid="{A9FCAFEA-C7B2-4FAF-8837-B3F6CA9433CE}">
      <text>
        <r>
          <rPr>
            <sz val="9"/>
            <color indexed="81"/>
            <rFont val="Tahoma"/>
            <family val="2"/>
          </rPr>
          <t xml:space="preserve">A qué politica Institucional de Gestión y Desempeño está asociada la actividad.
</t>
        </r>
      </text>
    </comment>
    <comment ref="G4" authorId="0" shapeId="0" xr:uid="{32CC6BB6-CB9A-455B-8768-B0743367A519}">
      <text>
        <r>
          <rPr>
            <b/>
            <sz val="9"/>
            <color indexed="81"/>
            <rFont val="Tahoma"/>
            <family val="2"/>
          </rPr>
          <t>DIANA PAOLA HERRERA:</t>
        </r>
        <r>
          <rPr>
            <sz val="9"/>
            <color indexed="81"/>
            <rFont val="Tahoma"/>
            <family val="2"/>
          </rPr>
          <t xml:space="preserve">
De acuerdo al Plan Estratégico.</t>
        </r>
      </text>
    </comment>
    <comment ref="H4" authorId="0" shapeId="0" xr:uid="{D3FBA415-E12D-4054-B0C7-25BE03803247}">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4F350D2E-02F1-43F9-B0A1-D1D42DB31CEB}">
      <text>
        <r>
          <rPr>
            <b/>
            <sz val="9"/>
            <color indexed="81"/>
            <rFont val="Tahoma"/>
            <family val="2"/>
          </rPr>
          <t>DIANA PAOLA HERRERA:</t>
        </r>
        <r>
          <rPr>
            <sz val="9"/>
            <color indexed="81"/>
            <rFont val="Tahoma"/>
            <family val="2"/>
          </rPr>
          <t xml:space="preserve">
Revisa y elija según lista Desplegable</t>
        </r>
      </text>
    </comment>
    <comment ref="K5" authorId="0" shapeId="0" xr:uid="{2FFF8E8E-7C65-421C-B67F-1A13B15DB9CD}">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6AEF3D28-E1A9-4035-A4FF-944E5F0895F5}">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8E76CB0D-F674-4110-BBDA-D0A9C85FA748}">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1D771FAD-9A35-48FF-AAA4-94FDD6AB5C6D}">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48931519-7255-4D5F-8AAB-4F83C75201FA}">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1B56B403-83E8-42E7-A8AE-08D3DB38AC3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D6027547-23A5-420C-920A-153D98F0B397}">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C7AF3420-8A85-4525-B681-B65332BBEBE8}">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800-000001000000}">
      <text>
        <r>
          <rPr>
            <b/>
            <sz val="9"/>
            <color indexed="81"/>
            <rFont val="Tahoma"/>
            <charset val="1"/>
          </rPr>
          <t>Enumere y describa las actividades a ejecutar durante la vigencia 2023.</t>
        </r>
      </text>
    </comment>
    <comment ref="C3" authorId="0" shapeId="0" xr:uid="{00000000-0006-0000-08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800-000003000000}">
      <text>
        <r>
          <rPr>
            <b/>
            <sz val="9"/>
            <color indexed="81"/>
            <rFont val="Tahoma"/>
            <charset val="1"/>
          </rPr>
          <t>Verifique si la actividad hace parte de los siguientes escenarios</t>
        </r>
      </text>
    </comment>
    <comment ref="J3" authorId="0" shapeId="0" xr:uid="{00000000-0006-0000-0800-000004000000}">
      <text>
        <r>
          <rPr>
            <sz val="9"/>
            <color indexed="81"/>
            <rFont val="Tahoma"/>
            <charset val="1"/>
          </rPr>
          <t xml:space="preserve">Indique el responsable del proyecto estratégico.
</t>
        </r>
      </text>
    </comment>
    <comment ref="S3" authorId="0" shapeId="0" xr:uid="{00000000-0006-0000-08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8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8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8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8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800-00000A000000}">
      <text>
        <r>
          <rPr>
            <b/>
            <sz val="9"/>
            <color indexed="81"/>
            <rFont val="Tahoma"/>
            <family val="2"/>
          </rPr>
          <t>Objetivos de Desarrollo Sostenible</t>
        </r>
      </text>
    </comment>
    <comment ref="E4" authorId="0" shapeId="0" xr:uid="{00000000-0006-0000-0800-00000B000000}">
      <text>
        <r>
          <rPr>
            <b/>
            <sz val="9"/>
            <color indexed="81"/>
            <rFont val="Tahoma"/>
            <family val="2"/>
          </rPr>
          <t>A qué meta del plan de desarrollo está asociada la actividad</t>
        </r>
      </text>
    </comment>
    <comment ref="F4" authorId="0" shapeId="0" xr:uid="{00000000-0006-0000-0800-00000C000000}">
      <text>
        <r>
          <rPr>
            <sz val="9"/>
            <color indexed="81"/>
            <rFont val="Tahoma"/>
            <family val="2"/>
          </rPr>
          <t xml:space="preserve">A qué politica Institucional de Gestión y Desempeño está asociada la actividad.
</t>
        </r>
      </text>
    </comment>
    <comment ref="G4" authorId="0" shapeId="0" xr:uid="{00000000-0006-0000-08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8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8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8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8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8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8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8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8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8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8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900-000001000000}">
      <text>
        <r>
          <rPr>
            <b/>
            <sz val="9"/>
            <color indexed="81"/>
            <rFont val="Tahoma"/>
            <charset val="1"/>
          </rPr>
          <t>Enumere y describa las actividades a ejecutar durante la vigencia 2023.</t>
        </r>
      </text>
    </comment>
    <comment ref="C3" authorId="0" shapeId="0" xr:uid="{00000000-0006-0000-09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900-000003000000}">
      <text>
        <r>
          <rPr>
            <b/>
            <sz val="9"/>
            <color indexed="81"/>
            <rFont val="Tahoma"/>
            <charset val="1"/>
          </rPr>
          <t>Verifique si la actividad hace parte de los siguientes escenarios</t>
        </r>
      </text>
    </comment>
    <comment ref="J3" authorId="0" shapeId="0" xr:uid="{00000000-0006-0000-0900-000004000000}">
      <text>
        <r>
          <rPr>
            <sz val="9"/>
            <color indexed="81"/>
            <rFont val="Tahoma"/>
            <charset val="1"/>
          </rPr>
          <t xml:space="preserve">Indique el responsable del proyecto estratégico.
</t>
        </r>
      </text>
    </comment>
    <comment ref="S3" authorId="0" shapeId="0" xr:uid="{00000000-0006-0000-09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9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9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9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9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900-00000A000000}">
      <text>
        <r>
          <rPr>
            <b/>
            <sz val="9"/>
            <color indexed="81"/>
            <rFont val="Tahoma"/>
            <family val="2"/>
          </rPr>
          <t>Objetivos de Desarrollo Sostenible</t>
        </r>
      </text>
    </comment>
    <comment ref="E4" authorId="0" shapeId="0" xr:uid="{00000000-0006-0000-0900-00000B000000}">
      <text>
        <r>
          <rPr>
            <b/>
            <sz val="9"/>
            <color indexed="81"/>
            <rFont val="Tahoma"/>
            <family val="2"/>
          </rPr>
          <t>A qué meta del plan de desarrollo está asociada la actividad</t>
        </r>
      </text>
    </comment>
    <comment ref="F4" authorId="0" shapeId="0" xr:uid="{00000000-0006-0000-0900-00000C000000}">
      <text>
        <r>
          <rPr>
            <sz val="9"/>
            <color indexed="81"/>
            <rFont val="Tahoma"/>
            <family val="2"/>
          </rPr>
          <t xml:space="preserve">A qué politica Institucional de Gestión y Desempeño está asociada la actividad.
</t>
        </r>
      </text>
    </comment>
    <comment ref="G4" authorId="0" shapeId="0" xr:uid="{00000000-0006-0000-09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9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9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9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9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9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9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9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9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9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9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9479A2F5-FF82-476F-9B6B-BE42E9AEDAC6}">
      <text>
        <r>
          <rPr>
            <b/>
            <sz val="9"/>
            <color indexed="81"/>
            <rFont val="Tahoma"/>
            <charset val="1"/>
          </rPr>
          <t>Enumere y describa las actividades a ejecutar durante la vigencia 2023.</t>
        </r>
      </text>
    </comment>
    <comment ref="C3" authorId="0" shapeId="0" xr:uid="{D4A899A0-A83D-438F-841A-90AD887A013A}">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7457C19A-4662-4E57-8A1C-876EA915F127}">
      <text>
        <r>
          <rPr>
            <b/>
            <sz val="9"/>
            <color indexed="81"/>
            <rFont val="Tahoma"/>
            <charset val="1"/>
          </rPr>
          <t>Verifique si la actividad hace parte de los siguientes escenarios</t>
        </r>
      </text>
    </comment>
    <comment ref="J3" authorId="0" shapeId="0" xr:uid="{A476E56C-6C91-4276-B460-702F48645C29}">
      <text>
        <r>
          <rPr>
            <sz val="9"/>
            <color indexed="81"/>
            <rFont val="Tahoma"/>
            <charset val="1"/>
          </rPr>
          <t xml:space="preserve">Indique el responsable del proyecto estratégico.
</t>
        </r>
      </text>
    </comment>
    <comment ref="S3" authorId="0" shapeId="0" xr:uid="{DE9ABDA2-1F33-4F62-B8F4-53C5C54CF357}">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961DB8ED-8875-4F7A-803C-163AF6D80EBF}">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DB4A7A71-C4B5-462B-ABB3-7BA88950C4E9}">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C6A5FE99-6DCA-48E0-A14A-E672E3CCFA6F}">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126CD9CA-A2BE-467F-88F1-953A4E4DF1E5}">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7E071FE4-B911-4973-AF63-08EFBAF0C288}">
      <text>
        <r>
          <rPr>
            <b/>
            <sz val="9"/>
            <color indexed="81"/>
            <rFont val="Tahoma"/>
            <family val="2"/>
          </rPr>
          <t>Objetivos de Desarrollo Sostenible</t>
        </r>
      </text>
    </comment>
    <comment ref="E4" authorId="0" shapeId="0" xr:uid="{5B9536AA-7527-49DA-A9E9-182989F0B169}">
      <text>
        <r>
          <rPr>
            <b/>
            <sz val="9"/>
            <color indexed="81"/>
            <rFont val="Tahoma"/>
            <family val="2"/>
          </rPr>
          <t>A qué meta del plan de desarrollo está asociada la actividad</t>
        </r>
      </text>
    </comment>
    <comment ref="F4" authorId="0" shapeId="0" xr:uid="{725E0948-E656-4982-9153-CDD2EEDD3ED3}">
      <text>
        <r>
          <rPr>
            <sz val="9"/>
            <color indexed="81"/>
            <rFont val="Tahoma"/>
            <family val="2"/>
          </rPr>
          <t xml:space="preserve">A qué politica Institucional de Gestión y Desempeño está asociada la actividad.
</t>
        </r>
      </text>
    </comment>
    <comment ref="G4" authorId="0" shapeId="0" xr:uid="{F47F56E0-1E57-4801-ADFB-9364B521ECAD}">
      <text>
        <r>
          <rPr>
            <b/>
            <sz val="9"/>
            <color indexed="81"/>
            <rFont val="Tahoma"/>
            <family val="2"/>
          </rPr>
          <t>DIANA PAOLA HERRERA:</t>
        </r>
        <r>
          <rPr>
            <sz val="9"/>
            <color indexed="81"/>
            <rFont val="Tahoma"/>
            <family val="2"/>
          </rPr>
          <t xml:space="preserve">
De acuerdo al Plan Estratégico.</t>
        </r>
      </text>
    </comment>
    <comment ref="H4" authorId="0" shapeId="0" xr:uid="{AAA0FA54-59D8-49B0-BE78-47C4C330BB42}">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6B27602-D6F8-4E12-AB59-8D8F150448FA}">
      <text>
        <r>
          <rPr>
            <b/>
            <sz val="9"/>
            <color indexed="81"/>
            <rFont val="Tahoma"/>
            <family val="2"/>
          </rPr>
          <t>DIANA PAOLA HERRERA:</t>
        </r>
        <r>
          <rPr>
            <sz val="9"/>
            <color indexed="81"/>
            <rFont val="Tahoma"/>
            <family val="2"/>
          </rPr>
          <t xml:space="preserve">
Revisa y elija según lista Desplegable</t>
        </r>
      </text>
    </comment>
    <comment ref="K5" authorId="0" shapeId="0" xr:uid="{431AF847-1AA8-4978-90F5-545CF7147DFD}">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FC221780-EBE7-4112-8BF1-10D0066FC372}">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7F5F8C2A-CCF7-4492-AB0C-D5F557AD93FC}">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FD01AA33-0257-44FA-B1C5-75CF8AC200EA}">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35DF26C-4BE0-4059-ACE9-92E7EAF724A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7F0DBE35-7AF3-48FD-9050-DAF7043B0404}">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CCE12C89-C864-4BDB-B225-BEEC6291AE04}">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C1B35442-E907-48FA-BAD1-C5B7E36CD96D}">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A00-000001000000}">
      <text>
        <r>
          <rPr>
            <b/>
            <sz val="9"/>
            <color indexed="81"/>
            <rFont val="Tahoma"/>
            <charset val="1"/>
          </rPr>
          <t>Enumere y describa las actividades a ejecutar durante la vigencia 2023.</t>
        </r>
      </text>
    </comment>
    <comment ref="C3" authorId="0" shapeId="0" xr:uid="{00000000-0006-0000-0A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A00-000003000000}">
      <text>
        <r>
          <rPr>
            <b/>
            <sz val="9"/>
            <color indexed="81"/>
            <rFont val="Tahoma"/>
            <charset val="1"/>
          </rPr>
          <t>Verifique si la actividad hace parte de los siguientes escenarios</t>
        </r>
      </text>
    </comment>
    <comment ref="J3" authorId="0" shapeId="0" xr:uid="{00000000-0006-0000-0A00-000004000000}">
      <text>
        <r>
          <rPr>
            <sz val="9"/>
            <color indexed="81"/>
            <rFont val="Tahoma"/>
            <charset val="1"/>
          </rPr>
          <t xml:space="preserve">Indique el responsable del proyecto estratégico.
</t>
        </r>
      </text>
    </comment>
    <comment ref="S3" authorId="0" shapeId="0" xr:uid="{00000000-0006-0000-0A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A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A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A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A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A00-00000A000000}">
      <text>
        <r>
          <rPr>
            <b/>
            <sz val="9"/>
            <color indexed="81"/>
            <rFont val="Tahoma"/>
            <family val="2"/>
          </rPr>
          <t>Objetivos de Desarrollo Sostenible</t>
        </r>
      </text>
    </comment>
    <comment ref="E4" authorId="0" shapeId="0" xr:uid="{00000000-0006-0000-0A00-00000B000000}">
      <text>
        <r>
          <rPr>
            <b/>
            <sz val="9"/>
            <color indexed="81"/>
            <rFont val="Tahoma"/>
            <family val="2"/>
          </rPr>
          <t>A qué meta del plan de desarrollo está asociada la actividad</t>
        </r>
      </text>
    </comment>
    <comment ref="F4" authorId="0" shapeId="0" xr:uid="{00000000-0006-0000-0A00-00000C000000}">
      <text>
        <r>
          <rPr>
            <sz val="9"/>
            <color indexed="81"/>
            <rFont val="Tahoma"/>
            <family val="2"/>
          </rPr>
          <t xml:space="preserve">A qué politica Institucional de Gestión y Desempeño está asociada la actividad.
</t>
        </r>
      </text>
    </comment>
    <comment ref="G4" authorId="0" shapeId="0" xr:uid="{00000000-0006-0000-0A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A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A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A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A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A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A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A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A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A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A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B00-000001000000}">
      <text>
        <r>
          <rPr>
            <b/>
            <sz val="9"/>
            <color indexed="81"/>
            <rFont val="Tahoma"/>
            <charset val="1"/>
          </rPr>
          <t>Enumere y describa las actividades a ejecutar durante la vigencia 2023.</t>
        </r>
      </text>
    </comment>
    <comment ref="C3" authorId="0" shapeId="0" xr:uid="{00000000-0006-0000-0B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B00-000003000000}">
      <text>
        <r>
          <rPr>
            <b/>
            <sz val="9"/>
            <color indexed="81"/>
            <rFont val="Tahoma"/>
            <charset val="1"/>
          </rPr>
          <t>Verifique si la actividad hace parte de los siguientes escenarios</t>
        </r>
      </text>
    </comment>
    <comment ref="J3" authorId="0" shapeId="0" xr:uid="{00000000-0006-0000-0B00-000004000000}">
      <text>
        <r>
          <rPr>
            <sz val="9"/>
            <color indexed="81"/>
            <rFont val="Tahoma"/>
            <charset val="1"/>
          </rPr>
          <t xml:space="preserve">Indique el responsable del proyecto estratégico.
</t>
        </r>
      </text>
    </comment>
    <comment ref="S3" authorId="0" shapeId="0" xr:uid="{00000000-0006-0000-0B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B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B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B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B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B00-00000A000000}">
      <text>
        <r>
          <rPr>
            <b/>
            <sz val="9"/>
            <color indexed="81"/>
            <rFont val="Tahoma"/>
            <family val="2"/>
          </rPr>
          <t>Objetivos de Desarrollo Sostenible</t>
        </r>
      </text>
    </comment>
    <comment ref="E4" authorId="0" shapeId="0" xr:uid="{00000000-0006-0000-0B00-00000B000000}">
      <text>
        <r>
          <rPr>
            <b/>
            <sz val="9"/>
            <color indexed="81"/>
            <rFont val="Tahoma"/>
            <family val="2"/>
          </rPr>
          <t>A qué meta del plan de desarrollo está asociada la actividad</t>
        </r>
      </text>
    </comment>
    <comment ref="F4" authorId="0" shapeId="0" xr:uid="{00000000-0006-0000-0B00-00000C000000}">
      <text>
        <r>
          <rPr>
            <sz val="9"/>
            <color indexed="81"/>
            <rFont val="Tahoma"/>
            <family val="2"/>
          </rPr>
          <t xml:space="preserve">A qué politica Institucional de Gestión y Desempeño está asociada la actividad.
</t>
        </r>
      </text>
    </comment>
    <comment ref="G4" authorId="0" shapeId="0" xr:uid="{00000000-0006-0000-0B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B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B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B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B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B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B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B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B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B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B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C00-000001000000}">
      <text>
        <r>
          <rPr>
            <b/>
            <sz val="9"/>
            <color indexed="81"/>
            <rFont val="Tahoma"/>
            <charset val="1"/>
          </rPr>
          <t>Enumere y describa las actividades a ejecutar durante la vigencia 2023.</t>
        </r>
      </text>
    </comment>
    <comment ref="C3" authorId="0" shapeId="0" xr:uid="{00000000-0006-0000-0C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C00-000003000000}">
      <text>
        <r>
          <rPr>
            <b/>
            <sz val="9"/>
            <color indexed="81"/>
            <rFont val="Tahoma"/>
            <charset val="1"/>
          </rPr>
          <t>Verifique si la actividad hace parte de los siguientes escenarios</t>
        </r>
      </text>
    </comment>
    <comment ref="J3" authorId="0" shapeId="0" xr:uid="{00000000-0006-0000-0C00-000004000000}">
      <text>
        <r>
          <rPr>
            <sz val="9"/>
            <color indexed="81"/>
            <rFont val="Tahoma"/>
            <charset val="1"/>
          </rPr>
          <t xml:space="preserve">Indique el responsable del proyecto estratégico.
</t>
        </r>
      </text>
    </comment>
    <comment ref="S3" authorId="0" shapeId="0" xr:uid="{00000000-0006-0000-0C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C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C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C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C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C00-00000A000000}">
      <text>
        <r>
          <rPr>
            <b/>
            <sz val="9"/>
            <color indexed="81"/>
            <rFont val="Tahoma"/>
            <family val="2"/>
          </rPr>
          <t>Objetivos de Desarrollo Sostenible</t>
        </r>
      </text>
    </comment>
    <comment ref="E4" authorId="0" shapeId="0" xr:uid="{00000000-0006-0000-0C00-00000B000000}">
      <text>
        <r>
          <rPr>
            <b/>
            <sz val="9"/>
            <color indexed="81"/>
            <rFont val="Tahoma"/>
            <family val="2"/>
          </rPr>
          <t>A qué meta del plan de desarrollo está asociada la actividad</t>
        </r>
      </text>
    </comment>
    <comment ref="F4" authorId="0" shapeId="0" xr:uid="{00000000-0006-0000-0C00-00000C000000}">
      <text>
        <r>
          <rPr>
            <sz val="9"/>
            <color indexed="81"/>
            <rFont val="Tahoma"/>
            <family val="2"/>
          </rPr>
          <t xml:space="preserve">A qué politica Institucional de Gestión y Desempeño está asociada la actividad.
</t>
        </r>
      </text>
    </comment>
    <comment ref="G4" authorId="0" shapeId="0" xr:uid="{00000000-0006-0000-0C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C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C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C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C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C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C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C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C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C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C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DIANA PAOLA HERRERA</author>
    <author>tc={98F1C1D5-7346-450C-8773-C9938EF0006B}</author>
  </authors>
  <commentList>
    <comment ref="B3" authorId="0" shapeId="0" xr:uid="{00000000-0006-0000-0E00-000001000000}">
      <text>
        <r>
          <rPr>
            <b/>
            <sz val="9"/>
            <color indexed="81"/>
            <rFont val="Tahoma"/>
            <charset val="1"/>
          </rPr>
          <t>Enumere y describa las actividades a ejecutar durante la vigencia 2023.</t>
        </r>
      </text>
    </comment>
    <comment ref="C3" authorId="0" shapeId="0" xr:uid="{00000000-0006-0000-0E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E00-000003000000}">
      <text>
        <r>
          <rPr>
            <b/>
            <sz val="9"/>
            <color indexed="81"/>
            <rFont val="Tahoma"/>
            <charset val="1"/>
          </rPr>
          <t>Verifique si la actividad hace parte de los siguientes escenarios</t>
        </r>
      </text>
    </comment>
    <comment ref="J3" authorId="0" shapeId="0" xr:uid="{00000000-0006-0000-0E00-000004000000}">
      <text>
        <r>
          <rPr>
            <sz val="9"/>
            <color indexed="81"/>
            <rFont val="Tahoma"/>
            <charset val="1"/>
          </rPr>
          <t xml:space="preserve">Indique el responsable del proyecto estratégico.
</t>
        </r>
      </text>
    </comment>
    <comment ref="S3" authorId="0" shapeId="0" xr:uid="{00000000-0006-0000-0E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E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1" shapeId="0" xr:uid="{98F1C1D5-7346-450C-8773-C9938EF0006B}">
      <text>
        <t>[Threaded comment]
Your version of Excel allows you to read this threaded comment; however, any edits to it will get removed if the file is opened in a newer version of Excel. Learn more: https://go.microsoft.com/fwlink/?linkid=870924
Comment:
    Ingrese el presupuesto Ejecutado</t>
      </text>
    </comment>
    <comment ref="Z3" authorId="0" shapeId="0" xr:uid="{00000000-0006-0000-0E00-000007000000}">
      <text>
        <r>
          <rPr>
            <b/>
            <sz val="9"/>
            <color indexed="81"/>
            <rFont val="Tahoma"/>
            <family val="2"/>
          </rPr>
          <t>DIANA PAOLA HERRERA:</t>
        </r>
        <r>
          <rPr>
            <sz val="9"/>
            <color indexed="81"/>
            <rFont val="Tahoma"/>
            <family val="2"/>
          </rPr>
          <t xml:space="preserve">
Esto corresponde al acumulado en el avance de la gestión.</t>
        </r>
      </text>
    </comment>
    <comment ref="AA3" authorId="0" shapeId="0" xr:uid="{00000000-0006-0000-0E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B3" authorId="0" shapeId="0" xr:uid="{00000000-0006-0000-0E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E00-00000A000000}">
      <text>
        <r>
          <rPr>
            <b/>
            <sz val="9"/>
            <color indexed="81"/>
            <rFont val="Tahoma"/>
            <family val="2"/>
          </rPr>
          <t>Objetivos de Desarrollo Sostenible</t>
        </r>
      </text>
    </comment>
    <comment ref="E4" authorId="0" shapeId="0" xr:uid="{00000000-0006-0000-0E00-00000B000000}">
      <text>
        <r>
          <rPr>
            <b/>
            <sz val="9"/>
            <color indexed="81"/>
            <rFont val="Tahoma"/>
            <family val="2"/>
          </rPr>
          <t>A qué meta del plan de desarrollo está asociada la actividad</t>
        </r>
      </text>
    </comment>
    <comment ref="F4" authorId="0" shapeId="0" xr:uid="{00000000-0006-0000-0E00-00000C000000}">
      <text>
        <r>
          <rPr>
            <sz val="9"/>
            <color indexed="81"/>
            <rFont val="Tahoma"/>
            <family val="2"/>
          </rPr>
          <t xml:space="preserve">A qué politica Institucional de Gestión y Desempeño está asociada la actividad.
</t>
        </r>
      </text>
    </comment>
    <comment ref="G4" authorId="0" shapeId="0" xr:uid="{00000000-0006-0000-0E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E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E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E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E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E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E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E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E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E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E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D00-000001000000}">
      <text>
        <r>
          <rPr>
            <b/>
            <sz val="9"/>
            <color indexed="81"/>
            <rFont val="Tahoma"/>
            <charset val="1"/>
          </rPr>
          <t>Enumere y describa las actividades a ejecutar durante la vigencia 2023.</t>
        </r>
      </text>
    </comment>
    <comment ref="C3" authorId="0" shapeId="0" xr:uid="{00000000-0006-0000-0D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D00-000003000000}">
      <text>
        <r>
          <rPr>
            <b/>
            <sz val="9"/>
            <color indexed="81"/>
            <rFont val="Tahoma"/>
            <charset val="1"/>
          </rPr>
          <t>Verifique si la actividad hace parte de los siguientes escenarios</t>
        </r>
      </text>
    </comment>
    <comment ref="J3" authorId="0" shapeId="0" xr:uid="{00000000-0006-0000-0D00-000004000000}">
      <text>
        <r>
          <rPr>
            <sz val="9"/>
            <color indexed="81"/>
            <rFont val="Tahoma"/>
            <charset val="1"/>
          </rPr>
          <t xml:space="preserve">Indique el responsable del proyecto estratégico.
</t>
        </r>
      </text>
    </comment>
    <comment ref="S3" authorId="0" shapeId="0" xr:uid="{00000000-0006-0000-0D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D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D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D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D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D00-00000A000000}">
      <text>
        <r>
          <rPr>
            <b/>
            <sz val="9"/>
            <color indexed="81"/>
            <rFont val="Tahoma"/>
            <family val="2"/>
          </rPr>
          <t>Objetivos de Desarrollo Sostenible</t>
        </r>
      </text>
    </comment>
    <comment ref="E4" authorId="0" shapeId="0" xr:uid="{00000000-0006-0000-0D00-00000B000000}">
      <text>
        <r>
          <rPr>
            <b/>
            <sz val="9"/>
            <color indexed="81"/>
            <rFont val="Tahoma"/>
            <family val="2"/>
          </rPr>
          <t>A qué meta del plan de desarrollo está asociada la actividad</t>
        </r>
      </text>
    </comment>
    <comment ref="F4" authorId="0" shapeId="0" xr:uid="{00000000-0006-0000-0D00-00000C000000}">
      <text>
        <r>
          <rPr>
            <sz val="9"/>
            <color indexed="81"/>
            <rFont val="Tahoma"/>
            <family val="2"/>
          </rPr>
          <t xml:space="preserve">A qué politica Institucional de Gestión y Desempeño está asociada la actividad.
</t>
        </r>
      </text>
    </comment>
    <comment ref="G4" authorId="0" shapeId="0" xr:uid="{00000000-0006-0000-0D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D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D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D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D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D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D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D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D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D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D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F00-000001000000}">
      <text>
        <r>
          <rPr>
            <b/>
            <sz val="9"/>
            <color indexed="81"/>
            <rFont val="Tahoma"/>
            <charset val="1"/>
          </rPr>
          <t>Verifique si la actividad hace parte de los siguientes escenarios</t>
        </r>
      </text>
    </comment>
    <comment ref="B4" authorId="0" shapeId="0" xr:uid="{00000000-0006-0000-0F00-000002000000}">
      <text>
        <r>
          <rPr>
            <b/>
            <sz val="9"/>
            <color indexed="81"/>
            <rFont val="Tahoma"/>
            <family val="2"/>
          </rPr>
          <t>Objetivos de Desarrollo Sostenible</t>
        </r>
      </text>
    </comment>
    <comment ref="C4" authorId="0" shapeId="0" xr:uid="{00000000-0006-0000-0F00-000003000000}">
      <text>
        <r>
          <rPr>
            <b/>
            <sz val="9"/>
            <color indexed="81"/>
            <rFont val="Tahoma"/>
            <family val="2"/>
          </rPr>
          <t>A qué meta del plan de desarrollo está asociada la actividad</t>
        </r>
      </text>
    </comment>
    <comment ref="D4" authorId="0" shapeId="0" xr:uid="{00000000-0006-0000-0F00-000004000000}">
      <text>
        <r>
          <rPr>
            <sz val="9"/>
            <color indexed="81"/>
            <rFont val="Tahoma"/>
            <family val="2"/>
          </rPr>
          <t xml:space="preserve">A qué politica Institucional de Gestión y Desempeño está asociada la actividad.
</t>
        </r>
      </text>
    </comment>
    <comment ref="E4" authorId="0" shapeId="0" xr:uid="{00000000-0006-0000-0F00-000005000000}">
      <text>
        <r>
          <rPr>
            <b/>
            <sz val="9"/>
            <color indexed="81"/>
            <rFont val="Tahoma"/>
            <family val="2"/>
          </rPr>
          <t>DIANA PAOLA HERRERA:</t>
        </r>
        <r>
          <rPr>
            <sz val="9"/>
            <color indexed="81"/>
            <rFont val="Tahoma"/>
            <family val="2"/>
          </rPr>
          <t xml:space="preserve">
De acuerdo al Plan Estratégico.</t>
        </r>
      </text>
    </comment>
    <comment ref="E5" authorId="0" shapeId="0" xr:uid="{00000000-0006-0000-0F00-000006000000}">
      <text>
        <r>
          <rPr>
            <b/>
            <sz val="9"/>
            <color indexed="81"/>
            <rFont val="Tahoma"/>
            <family val="2"/>
          </rPr>
          <t>DIANA PAOLA HERRERA:</t>
        </r>
        <r>
          <rPr>
            <sz val="9"/>
            <color indexed="81"/>
            <rFont val="Tahoma"/>
            <family val="2"/>
          </rPr>
          <t xml:space="preserve">
Revisa y elija según 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000-000001000000}">
      <text>
        <r>
          <rPr>
            <b/>
            <sz val="9"/>
            <color indexed="81"/>
            <rFont val="Tahoma"/>
            <charset val="1"/>
          </rPr>
          <t>Enumere y describa las actividades a ejecutar durante la vigencia 2023.</t>
        </r>
      </text>
    </comment>
    <comment ref="C3" authorId="0" shapeId="0" xr:uid="{00000000-0006-0000-00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000-000003000000}">
      <text>
        <r>
          <rPr>
            <b/>
            <sz val="9"/>
            <color indexed="81"/>
            <rFont val="Tahoma"/>
            <charset val="1"/>
          </rPr>
          <t>Verifique si la actividad hace parte de los siguientes escenarios</t>
        </r>
      </text>
    </comment>
    <comment ref="J3" authorId="0" shapeId="0" xr:uid="{00000000-0006-0000-0000-000004000000}">
      <text>
        <r>
          <rPr>
            <sz val="9"/>
            <color indexed="81"/>
            <rFont val="Tahoma"/>
            <charset val="1"/>
          </rPr>
          <t xml:space="preserve">Indique el responsable del proyecto estratégico.
</t>
        </r>
      </text>
    </comment>
    <comment ref="S3" authorId="0" shapeId="0" xr:uid="{00000000-0006-0000-00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0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0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0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0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000-00000A000000}">
      <text>
        <r>
          <rPr>
            <b/>
            <sz val="9"/>
            <color indexed="81"/>
            <rFont val="Tahoma"/>
            <family val="2"/>
          </rPr>
          <t>Objetivos de Desarrollo Sostenible</t>
        </r>
      </text>
    </comment>
    <comment ref="E4" authorId="0" shapeId="0" xr:uid="{00000000-0006-0000-0000-00000B000000}">
      <text>
        <r>
          <rPr>
            <b/>
            <sz val="9"/>
            <color indexed="81"/>
            <rFont val="Tahoma"/>
            <family val="2"/>
          </rPr>
          <t>A qué meta del plan de desarrollo está asociada la actividad</t>
        </r>
      </text>
    </comment>
    <comment ref="F4" authorId="0" shapeId="0" xr:uid="{00000000-0006-0000-0000-00000C000000}">
      <text>
        <r>
          <rPr>
            <sz val="9"/>
            <color indexed="81"/>
            <rFont val="Tahoma"/>
            <family val="2"/>
          </rPr>
          <t xml:space="preserve">A qué politica Institucional de Gestión y Desempeño está asociada la actividad.
</t>
        </r>
      </text>
    </comment>
    <comment ref="G4" authorId="0" shapeId="0" xr:uid="{00000000-0006-0000-00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0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0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0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0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0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0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0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0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0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0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D85BEE92-37F4-48B4-8F91-66ABD53004A5}">
      <text>
        <r>
          <rPr>
            <b/>
            <sz val="9"/>
            <color indexed="81"/>
            <rFont val="Tahoma"/>
            <charset val="1"/>
          </rPr>
          <t>Enumere y describa las actividades a ejecutar durante la vigencia 2023.</t>
        </r>
      </text>
    </comment>
    <comment ref="D3" authorId="0" shapeId="0" xr:uid="{4CEE56C9-97ED-4AB7-AC47-9D2C704FFC69}">
      <text>
        <r>
          <rPr>
            <b/>
            <sz val="9"/>
            <color indexed="81"/>
            <rFont val="Tahoma"/>
            <family val="2"/>
          </rPr>
          <t>DIANA PAOLA HERRERA:</t>
        </r>
        <r>
          <rPr>
            <sz val="9"/>
            <color indexed="81"/>
            <rFont val="Tahoma"/>
            <family val="2"/>
          </rPr>
          <t xml:space="preserve">
De acuerdo a la actividad propuesta determine la fórmula adecuada.</t>
        </r>
      </text>
    </comment>
    <comment ref="E3" authorId="0" shapeId="0" xr:uid="{9C67CB03-572E-4B76-A439-EE6A8E51AB76}">
      <text>
        <r>
          <rPr>
            <b/>
            <sz val="9"/>
            <color indexed="81"/>
            <rFont val="Tahoma"/>
            <charset val="1"/>
          </rPr>
          <t>Verifique si la actividad hace parte de los siguientes escenarios</t>
        </r>
      </text>
    </comment>
    <comment ref="K3" authorId="0" shapeId="0" xr:uid="{4DF36F4C-6FF8-4A28-9E6B-BF993DFA60B6}">
      <text>
        <r>
          <rPr>
            <sz val="9"/>
            <color indexed="81"/>
            <rFont val="Tahoma"/>
            <charset val="1"/>
          </rPr>
          <t xml:space="preserve">Indique el responsable del proyecto estratégico.
</t>
        </r>
      </text>
    </comment>
    <comment ref="T3" authorId="0" shapeId="0" xr:uid="{4D7A2666-9CC9-4BF4-BE6B-BDC10DBF8F44}">
      <text>
        <r>
          <rPr>
            <b/>
            <sz val="9"/>
            <color indexed="81"/>
            <rFont val="Tahoma"/>
            <family val="2"/>
          </rPr>
          <t>DIANA PAOLA HERRERA:</t>
        </r>
        <r>
          <rPr>
            <sz val="9"/>
            <color indexed="81"/>
            <rFont val="Tahoma"/>
            <family val="2"/>
          </rPr>
          <t xml:space="preserve">
Defina la fecha en la que va a ejecutar la acción propuesta.</t>
        </r>
      </text>
    </comment>
    <comment ref="V3" authorId="0" shapeId="0" xr:uid="{8882CC2A-97B0-4976-9F7B-055A602B5D32}">
      <text>
        <r>
          <rPr>
            <b/>
            <sz val="9"/>
            <color indexed="81"/>
            <rFont val="Tahoma"/>
            <family val="2"/>
          </rPr>
          <t>DIANA PAOLA HERRERA:</t>
        </r>
        <r>
          <rPr>
            <sz val="9"/>
            <color indexed="81"/>
            <rFont val="Tahoma"/>
            <family val="2"/>
          </rPr>
          <t xml:space="preserve">
Indique el presupuesto asignado según la fuente de recursos. </t>
        </r>
      </text>
    </comment>
    <comment ref="Z3" authorId="0" shapeId="0" xr:uid="{64C6DCC3-9E71-448E-BBBD-0A3ADED7A863}">
      <text>
        <r>
          <rPr>
            <b/>
            <sz val="9"/>
            <color indexed="81"/>
            <rFont val="Tahoma"/>
            <family val="2"/>
          </rPr>
          <t>DIANA PAOLA HERRERA:</t>
        </r>
        <r>
          <rPr>
            <sz val="9"/>
            <color indexed="81"/>
            <rFont val="Tahoma"/>
            <family val="2"/>
          </rPr>
          <t xml:space="preserve">
Esto corresponde al acumulado en el avance de la gestión.</t>
        </r>
      </text>
    </comment>
    <comment ref="AA3" authorId="0" shapeId="0" xr:uid="{EA5F6A67-6312-484B-8E49-DB4A81FF1731}">
      <text>
        <r>
          <rPr>
            <b/>
            <sz val="9"/>
            <color indexed="81"/>
            <rFont val="Tahoma"/>
            <family val="2"/>
          </rPr>
          <t>DIANA PAOLA HERRERA:</t>
        </r>
        <r>
          <rPr>
            <sz val="9"/>
            <color indexed="81"/>
            <rFont val="Tahoma"/>
            <family val="2"/>
          </rPr>
          <t xml:space="preserve">
Defina el porcentaje de avance en la ejecución del presupuesto.</t>
        </r>
      </text>
    </comment>
    <comment ref="AB3" authorId="0" shapeId="0" xr:uid="{35FF5045-1989-4667-B909-6873741C9FC3}">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E4" authorId="0" shapeId="0" xr:uid="{BFABCFF9-5647-42D8-A7D3-584E2E8F4AAF}">
      <text>
        <r>
          <rPr>
            <b/>
            <sz val="9"/>
            <color indexed="81"/>
            <rFont val="Tahoma"/>
            <family val="2"/>
          </rPr>
          <t>Objetivos de Desarrollo Sostenible</t>
        </r>
      </text>
    </comment>
    <comment ref="F4" authorId="0" shapeId="0" xr:uid="{083C88F3-D5E0-4154-9A2A-B0BB2CFED2B4}">
      <text>
        <r>
          <rPr>
            <b/>
            <sz val="9"/>
            <color indexed="81"/>
            <rFont val="Tahoma"/>
            <family val="2"/>
          </rPr>
          <t>A qué meta del plan de desarrollo está asociada la actividad</t>
        </r>
      </text>
    </comment>
    <comment ref="G4" authorId="0" shapeId="0" xr:uid="{A89CE604-B8B6-4F32-850F-50957C3FC9CB}">
      <text>
        <r>
          <rPr>
            <sz val="9"/>
            <color indexed="81"/>
            <rFont val="Tahoma"/>
            <family val="2"/>
          </rPr>
          <t xml:space="preserve">A qué politica Institucional de Gestión y Desempeño está asociada la actividad.
</t>
        </r>
      </text>
    </comment>
    <comment ref="H4" authorId="0" shapeId="0" xr:uid="{5B66BF01-489D-4AC6-A5DE-EDE5D2566C74}">
      <text>
        <r>
          <rPr>
            <b/>
            <sz val="9"/>
            <color indexed="81"/>
            <rFont val="Tahoma"/>
            <family val="2"/>
          </rPr>
          <t>DIANA PAOLA HERRERA:</t>
        </r>
        <r>
          <rPr>
            <sz val="9"/>
            <color indexed="81"/>
            <rFont val="Tahoma"/>
            <family val="2"/>
          </rPr>
          <t xml:space="preserve">
De acuerdo al Plan Estratégico.</t>
        </r>
      </text>
    </comment>
    <comment ref="I4" authorId="0" shapeId="0" xr:uid="{AA60C09E-15DE-4087-BD49-781704DB2C63}">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H5" authorId="0" shapeId="0" xr:uid="{EFD36B2A-C497-4BFF-A43F-7F64861DAD6D}">
      <text>
        <r>
          <rPr>
            <b/>
            <sz val="9"/>
            <color indexed="81"/>
            <rFont val="Tahoma"/>
            <family val="2"/>
          </rPr>
          <t>DIANA PAOLA HERRERA:</t>
        </r>
        <r>
          <rPr>
            <sz val="9"/>
            <color indexed="81"/>
            <rFont val="Tahoma"/>
            <family val="2"/>
          </rPr>
          <t xml:space="preserve">
Revisa y elija según lista Desplegable</t>
        </r>
      </text>
    </comment>
    <comment ref="L5" authorId="0" shapeId="0" xr:uid="{7E9B8D19-44D8-4E14-BADD-C289F02F5570}">
      <text>
        <r>
          <rPr>
            <sz val="11"/>
            <color theme="1"/>
            <rFont val="Calibri"/>
            <family val="2"/>
            <scheme val="minor"/>
          </rPr>
          <t>DIANA PAOLA HERRERA:
Indique el porcentaje de avance de acuerdo a la aplicación del indicador. Recuerde que cada trimestre vale un 25%.</t>
        </r>
      </text>
    </comment>
    <comment ref="M5" authorId="0" shapeId="0" xr:uid="{394DADB5-BBE0-4A38-8078-EB5DFFD1E1F6}">
      <text>
        <r>
          <rPr>
            <b/>
            <sz val="9"/>
            <color indexed="81"/>
            <rFont val="Tahoma"/>
            <family val="2"/>
          </rPr>
          <t>DIANA PAOLA HERRERA:</t>
        </r>
        <r>
          <rPr>
            <sz val="9"/>
            <color indexed="81"/>
            <rFont val="Tahoma"/>
            <family val="2"/>
          </rPr>
          <t xml:space="preserve">
Describa  de manera concisa las actividades adelantadas.</t>
        </r>
      </text>
    </comment>
    <comment ref="N5" authorId="0" shapeId="0" xr:uid="{CFEB43FA-E348-4060-B1E9-B1B8BE643128}">
      <text>
        <r>
          <rPr>
            <b/>
            <sz val="9"/>
            <color indexed="81"/>
            <rFont val="Tahoma"/>
            <family val="2"/>
          </rPr>
          <t>DIANA PAOLA HERRERA:</t>
        </r>
        <r>
          <rPr>
            <sz val="9"/>
            <color indexed="81"/>
            <rFont val="Tahoma"/>
            <family val="2"/>
          </rPr>
          <t xml:space="preserve">
Indique el porcentaje de avance de acuerdo a la aplicación del indicador.</t>
        </r>
      </text>
    </comment>
    <comment ref="O5" authorId="0" shapeId="0" xr:uid="{EF55373A-0953-4D40-A3C6-F2411FFFD71B}">
      <text>
        <r>
          <rPr>
            <b/>
            <sz val="9"/>
            <color indexed="81"/>
            <rFont val="Tahoma"/>
            <family val="2"/>
          </rPr>
          <t>DIANA PAOLA HERRERA:</t>
        </r>
        <r>
          <rPr>
            <sz val="9"/>
            <color indexed="81"/>
            <rFont val="Tahoma"/>
            <family val="2"/>
          </rPr>
          <t xml:space="preserve">
Describa  de manera concisa las actividades adelantadas.</t>
        </r>
      </text>
    </comment>
    <comment ref="P5" authorId="0" shapeId="0" xr:uid="{E30634C0-01EB-40BD-A7D7-EFE86C70ED99}">
      <text>
        <r>
          <rPr>
            <b/>
            <sz val="9"/>
            <color indexed="81"/>
            <rFont val="Tahoma"/>
            <family val="2"/>
          </rPr>
          <t>DIANA PAOLA HERRERA:</t>
        </r>
        <r>
          <rPr>
            <sz val="9"/>
            <color indexed="81"/>
            <rFont val="Tahoma"/>
            <family val="2"/>
          </rPr>
          <t xml:space="preserve">
Indique el porcentaje de avance de acuerdo a la aplicación del indicador.</t>
        </r>
      </text>
    </comment>
    <comment ref="Q5" authorId="0" shapeId="0" xr:uid="{64BC0443-D4D9-4406-BAD8-E11B4F670A49}">
      <text>
        <r>
          <rPr>
            <b/>
            <sz val="9"/>
            <color indexed="81"/>
            <rFont val="Tahoma"/>
            <family val="2"/>
          </rPr>
          <t>DIANA PAOLA HERRERA:</t>
        </r>
        <r>
          <rPr>
            <sz val="9"/>
            <color indexed="81"/>
            <rFont val="Tahoma"/>
            <family val="2"/>
          </rPr>
          <t xml:space="preserve">
Describa  de manera concisa las actividades adelantadas.</t>
        </r>
      </text>
    </comment>
    <comment ref="R5" authorId="0" shapeId="0" xr:uid="{C6A6AF38-8C55-4FDC-B09D-D6AF5D20149B}">
      <text>
        <r>
          <rPr>
            <b/>
            <sz val="9"/>
            <color indexed="81"/>
            <rFont val="Tahoma"/>
            <family val="2"/>
          </rPr>
          <t>DIANA PAOLA HERRERA:</t>
        </r>
        <r>
          <rPr>
            <sz val="9"/>
            <color indexed="81"/>
            <rFont val="Tahoma"/>
            <family val="2"/>
          </rPr>
          <t xml:space="preserve">
Indique el porcentaje de avance de acuerdo a la aplicación del indicador.</t>
        </r>
      </text>
    </comment>
    <comment ref="S5" authorId="0" shapeId="0" xr:uid="{E13DD144-73DE-4663-9BCE-A7DC2E1FE9C5}">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PAOLA HERRERA</author>
    <author>tc={D71E650E-48C2-4760-B6FB-24526469AF02}</author>
    <author>tc={064CFB75-3E3E-4438-906C-43C94642823E}</author>
  </authors>
  <commentList>
    <comment ref="B3" authorId="0" shapeId="0" xr:uid="{00000000-0006-0000-0200-000001000000}">
      <text>
        <r>
          <rPr>
            <b/>
            <sz val="9"/>
            <color indexed="81"/>
            <rFont val="Tahoma"/>
            <charset val="1"/>
          </rPr>
          <t>Enumere y describa las actividades a ejecutar durante la vigencia 2023.</t>
        </r>
      </text>
    </comment>
    <comment ref="C3" authorId="0" shapeId="0" xr:uid="{00000000-0006-0000-02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200-000003000000}">
      <text>
        <r>
          <rPr>
            <b/>
            <sz val="9"/>
            <color indexed="81"/>
            <rFont val="Tahoma"/>
            <charset val="1"/>
          </rPr>
          <t>Verifique si la actividad hace parte de los siguientes escenarios</t>
        </r>
      </text>
    </comment>
    <comment ref="J3" authorId="0" shapeId="0" xr:uid="{00000000-0006-0000-0200-000004000000}">
      <text>
        <r>
          <rPr>
            <sz val="9"/>
            <color indexed="81"/>
            <rFont val="Tahoma"/>
            <charset val="1"/>
          </rPr>
          <t xml:space="preserve">Indique el responsable del proyecto estratégico.
</t>
        </r>
      </text>
    </comment>
    <comment ref="S3" authorId="0" shapeId="0" xr:uid="{00000000-0006-0000-02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2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2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2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2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200-00000A000000}">
      <text>
        <r>
          <rPr>
            <b/>
            <sz val="9"/>
            <color indexed="81"/>
            <rFont val="Tahoma"/>
            <family val="2"/>
          </rPr>
          <t>Objetivos de Desarrollo Sostenible</t>
        </r>
      </text>
    </comment>
    <comment ref="E4" authorId="0" shapeId="0" xr:uid="{00000000-0006-0000-0200-00000B000000}">
      <text>
        <r>
          <rPr>
            <b/>
            <sz val="9"/>
            <color indexed="81"/>
            <rFont val="Tahoma"/>
            <family val="2"/>
          </rPr>
          <t>A qué meta del plan de desarrollo está asociada la actividad</t>
        </r>
      </text>
    </comment>
    <comment ref="F4" authorId="0" shapeId="0" xr:uid="{00000000-0006-0000-0200-00000C000000}">
      <text>
        <r>
          <rPr>
            <sz val="9"/>
            <color indexed="81"/>
            <rFont val="Tahoma"/>
            <family val="2"/>
          </rPr>
          <t xml:space="preserve">A qué politica Institucional de Gestión y Desempeño está asociada la actividad.
</t>
        </r>
      </text>
    </comment>
    <comment ref="G4" authorId="0" shapeId="0" xr:uid="{00000000-0006-0000-02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2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2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2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2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2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2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2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2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2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200-000017000000}">
      <text>
        <r>
          <rPr>
            <b/>
            <sz val="9"/>
            <color indexed="81"/>
            <rFont val="Tahoma"/>
            <family val="2"/>
          </rPr>
          <t>DIANA PAOLA HERRERA:</t>
        </r>
        <r>
          <rPr>
            <sz val="9"/>
            <color indexed="81"/>
            <rFont val="Tahoma"/>
            <family val="2"/>
          </rPr>
          <t xml:space="preserve">
Describa  de manera concisa las actividades adelantadas.</t>
        </r>
      </text>
    </comment>
    <comment ref="K6" authorId="1" shapeId="0" xr:uid="{D71E650E-48C2-4760-B6FB-24526469AF02}">
      <text>
        <t xml:space="preserve">[Threaded comment]
Your version of Excel allows you to read this threaded comment; however, any edits to it will get removed if the file is opened in a newer version of Excel. Learn more: https://go.microsoft.com/fwlink/?linkid=870924
Comment:
    programadas 10 al año </t>
      </text>
    </comment>
    <comment ref="K7" authorId="2" shapeId="0" xr:uid="{064CFB75-3E3E-4438-906C-43C94642823E}">
      <text>
        <t xml:space="preserve">[Threaded comment]
Your version of Excel allows you to read this threaded comment; however, any edits to it will get removed if the file is opened in a newer version of Excel. Learn more: https://go.microsoft.com/fwlink/?linkid=870924
Comment:
    Programadas 10 al año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300-000001000000}">
      <text>
        <r>
          <rPr>
            <b/>
            <sz val="9"/>
            <color indexed="81"/>
            <rFont val="Tahoma"/>
            <charset val="1"/>
          </rPr>
          <t>Enumere y describa las actividades a ejecutar durante la vigencia 2023.</t>
        </r>
      </text>
    </comment>
    <comment ref="C3" authorId="0" shapeId="0" xr:uid="{00000000-0006-0000-03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300-000003000000}">
      <text>
        <r>
          <rPr>
            <b/>
            <sz val="9"/>
            <color indexed="81"/>
            <rFont val="Tahoma"/>
            <charset val="1"/>
          </rPr>
          <t>Verifique si la actividad hace parte de los siguientes escenarios</t>
        </r>
      </text>
    </comment>
    <comment ref="J3" authorId="0" shapeId="0" xr:uid="{00000000-0006-0000-0300-000004000000}">
      <text>
        <r>
          <rPr>
            <sz val="9"/>
            <color indexed="81"/>
            <rFont val="Tahoma"/>
            <charset val="1"/>
          </rPr>
          <t xml:space="preserve">Indique el responsable del proyecto estratégico.
</t>
        </r>
      </text>
    </comment>
    <comment ref="S3" authorId="0" shapeId="0" xr:uid="{00000000-0006-0000-03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3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3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3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3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300-00000A000000}">
      <text>
        <r>
          <rPr>
            <b/>
            <sz val="9"/>
            <color indexed="81"/>
            <rFont val="Tahoma"/>
            <family val="2"/>
          </rPr>
          <t>Objetivos de Desarrollo Sostenible</t>
        </r>
      </text>
    </comment>
    <comment ref="E4" authorId="0" shapeId="0" xr:uid="{00000000-0006-0000-0300-00000B000000}">
      <text>
        <r>
          <rPr>
            <b/>
            <sz val="9"/>
            <color indexed="81"/>
            <rFont val="Tahoma"/>
            <family val="2"/>
          </rPr>
          <t>A qué meta del plan de desarrollo está asociada la actividad</t>
        </r>
      </text>
    </comment>
    <comment ref="F4" authorId="0" shapeId="0" xr:uid="{00000000-0006-0000-0300-00000C000000}">
      <text>
        <r>
          <rPr>
            <sz val="9"/>
            <color indexed="81"/>
            <rFont val="Tahoma"/>
            <family val="2"/>
          </rPr>
          <t xml:space="preserve">A qué politica Institucional de Gestión y Desempeño está asociada la actividad.
</t>
        </r>
      </text>
    </comment>
    <comment ref="G4" authorId="0" shapeId="0" xr:uid="{00000000-0006-0000-03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3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3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3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3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3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3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3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3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3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3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400-000001000000}">
      <text>
        <r>
          <rPr>
            <b/>
            <sz val="9"/>
            <color indexed="81"/>
            <rFont val="Tahoma"/>
            <charset val="1"/>
          </rPr>
          <t>Enumere y describa las actividades a ejecutar durante la vigencia 2023.</t>
        </r>
      </text>
    </comment>
    <comment ref="C3" authorId="0" shapeId="0" xr:uid="{00000000-0006-0000-04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400-000003000000}">
      <text>
        <r>
          <rPr>
            <b/>
            <sz val="9"/>
            <color indexed="81"/>
            <rFont val="Tahoma"/>
            <charset val="1"/>
          </rPr>
          <t>Verifique si la actividad hace parte de los siguientes escenarios</t>
        </r>
      </text>
    </comment>
    <comment ref="J3" authorId="0" shapeId="0" xr:uid="{00000000-0006-0000-0400-000004000000}">
      <text>
        <r>
          <rPr>
            <sz val="9"/>
            <color indexed="81"/>
            <rFont val="Tahoma"/>
            <charset val="1"/>
          </rPr>
          <t xml:space="preserve">Indique el responsable del proyecto estratégico.
</t>
        </r>
      </text>
    </comment>
    <comment ref="S3" authorId="0" shapeId="0" xr:uid="{00000000-0006-0000-04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4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4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4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4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400-00000A000000}">
      <text>
        <r>
          <rPr>
            <b/>
            <sz val="9"/>
            <color indexed="81"/>
            <rFont val="Tahoma"/>
            <family val="2"/>
          </rPr>
          <t>Objetivos de Desarrollo Sostenible</t>
        </r>
      </text>
    </comment>
    <comment ref="E4" authorId="0" shapeId="0" xr:uid="{00000000-0006-0000-0400-00000B000000}">
      <text>
        <r>
          <rPr>
            <b/>
            <sz val="9"/>
            <color indexed="81"/>
            <rFont val="Tahoma"/>
            <family val="2"/>
          </rPr>
          <t>A qué meta del plan de desarrollo está asociada la actividad</t>
        </r>
      </text>
    </comment>
    <comment ref="F4" authorId="0" shapeId="0" xr:uid="{00000000-0006-0000-0400-00000C000000}">
      <text>
        <r>
          <rPr>
            <sz val="9"/>
            <color indexed="81"/>
            <rFont val="Tahoma"/>
            <family val="2"/>
          </rPr>
          <t xml:space="preserve">A qué politica Institucional de Gestión y Desempeño está asociada la actividad.
</t>
        </r>
      </text>
    </comment>
    <comment ref="G4" authorId="0" shapeId="0" xr:uid="{00000000-0006-0000-04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4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4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4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4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4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4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4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4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4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4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2" authorId="0" shapeId="0" xr:uid="{00000000-0006-0000-0600-000001000000}">
      <text>
        <r>
          <rPr>
            <b/>
            <sz val="9"/>
            <color indexed="81"/>
            <rFont val="Tahoma"/>
            <charset val="1"/>
          </rPr>
          <t>Enumere y describa las actividades a ejecutar durante la vigencia 2023.</t>
        </r>
      </text>
    </comment>
    <comment ref="C2" authorId="0" shapeId="0" xr:uid="{00000000-0006-0000-06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2" authorId="0" shapeId="0" xr:uid="{00000000-0006-0000-0600-000003000000}">
      <text>
        <r>
          <rPr>
            <b/>
            <sz val="9"/>
            <color indexed="81"/>
            <rFont val="Tahoma"/>
            <charset val="1"/>
          </rPr>
          <t>Verifique si la actividad hace parte de los siguientes escenarios</t>
        </r>
      </text>
    </comment>
    <comment ref="J2" authorId="0" shapeId="0" xr:uid="{00000000-0006-0000-0600-000004000000}">
      <text>
        <r>
          <rPr>
            <sz val="9"/>
            <color indexed="81"/>
            <rFont val="Tahoma"/>
            <charset val="1"/>
          </rPr>
          <t xml:space="preserve">Indique el responsable del proyecto estratégico.
</t>
        </r>
      </text>
    </comment>
    <comment ref="S2" authorId="0" shapeId="0" xr:uid="{00000000-0006-0000-0600-000005000000}">
      <text>
        <r>
          <rPr>
            <b/>
            <sz val="9"/>
            <color indexed="81"/>
            <rFont val="Tahoma"/>
            <family val="2"/>
          </rPr>
          <t>DIANA PAOLA HERRERA:</t>
        </r>
        <r>
          <rPr>
            <sz val="9"/>
            <color indexed="81"/>
            <rFont val="Tahoma"/>
            <family val="2"/>
          </rPr>
          <t xml:space="preserve">
Defina la fecha en la que va a ejecutar la acción propuesta.</t>
        </r>
      </text>
    </comment>
    <comment ref="U2" authorId="0" shapeId="0" xr:uid="{00000000-0006-0000-0600-000006000000}">
      <text>
        <r>
          <rPr>
            <b/>
            <sz val="9"/>
            <color indexed="81"/>
            <rFont val="Tahoma"/>
            <family val="2"/>
          </rPr>
          <t>DIANA PAOLA HERRERA:</t>
        </r>
        <r>
          <rPr>
            <sz val="9"/>
            <color indexed="81"/>
            <rFont val="Tahoma"/>
            <family val="2"/>
          </rPr>
          <t xml:space="preserve">
Indique el presupuesto asignado según la fuente de recursos. </t>
        </r>
      </text>
    </comment>
    <comment ref="Y2" authorId="0" shapeId="0" xr:uid="{00000000-0006-0000-0600-000007000000}">
      <text>
        <r>
          <rPr>
            <b/>
            <sz val="9"/>
            <color indexed="81"/>
            <rFont val="Tahoma"/>
            <family val="2"/>
          </rPr>
          <t>DIANA PAOLA HERRERA:</t>
        </r>
        <r>
          <rPr>
            <sz val="9"/>
            <color indexed="81"/>
            <rFont val="Tahoma"/>
            <family val="2"/>
          </rPr>
          <t xml:space="preserve">
Esto corresponde al acumulado en el avance de la gestión.</t>
        </r>
      </text>
    </comment>
    <comment ref="Z2" authorId="0" shapeId="0" xr:uid="{00000000-0006-0000-06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2" authorId="0" shapeId="0" xr:uid="{00000000-0006-0000-06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3" authorId="0" shapeId="0" xr:uid="{B86CFE7B-D512-4C5B-8A08-B5D30ABD8A8C}">
      <text>
        <r>
          <rPr>
            <b/>
            <sz val="9"/>
            <color indexed="81"/>
            <rFont val="Tahoma"/>
            <family val="2"/>
          </rPr>
          <t>Objetivos de Desarrollo Sostenible</t>
        </r>
      </text>
    </comment>
    <comment ref="E3" authorId="0" shapeId="0" xr:uid="{00000000-0006-0000-0600-00000B000000}">
      <text>
        <r>
          <rPr>
            <b/>
            <sz val="9"/>
            <color indexed="81"/>
            <rFont val="Tahoma"/>
            <family val="2"/>
          </rPr>
          <t>A qué meta del plan de desarrollo está asociada la actividad</t>
        </r>
      </text>
    </comment>
    <comment ref="F3" authorId="0" shapeId="0" xr:uid="{00000000-0006-0000-0600-00000C000000}">
      <text>
        <r>
          <rPr>
            <sz val="9"/>
            <color indexed="81"/>
            <rFont val="Tahoma"/>
            <family val="2"/>
          </rPr>
          <t xml:space="preserve">A qué politica Institucional de Gestión y Desempeño está asociada la actividad.
</t>
        </r>
      </text>
    </comment>
    <comment ref="G3" authorId="0" shapeId="0" xr:uid="{00000000-0006-0000-0600-00000D000000}">
      <text>
        <r>
          <rPr>
            <b/>
            <sz val="9"/>
            <color indexed="81"/>
            <rFont val="Tahoma"/>
            <family val="2"/>
          </rPr>
          <t>DIANA PAOLA HERRERA:</t>
        </r>
        <r>
          <rPr>
            <sz val="9"/>
            <color indexed="81"/>
            <rFont val="Tahoma"/>
            <family val="2"/>
          </rPr>
          <t xml:space="preserve">
De acuerdo al Plan Estratégico.</t>
        </r>
      </text>
    </comment>
    <comment ref="H3" authorId="0" shapeId="0" xr:uid="{00000000-0006-0000-06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4" authorId="0" shapeId="0" xr:uid="{00000000-0006-0000-0600-00000F000000}">
      <text>
        <r>
          <rPr>
            <b/>
            <sz val="9"/>
            <color indexed="81"/>
            <rFont val="Tahoma"/>
            <family val="2"/>
          </rPr>
          <t>DIANA PAOLA HERRERA:</t>
        </r>
        <r>
          <rPr>
            <sz val="9"/>
            <color indexed="81"/>
            <rFont val="Tahoma"/>
            <family val="2"/>
          </rPr>
          <t xml:space="preserve">
Revisa y elija según lista Desplegable</t>
        </r>
      </text>
    </comment>
    <comment ref="K4" authorId="0" shapeId="0" xr:uid="{00000000-0006-0000-06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4" authorId="0" shapeId="0" xr:uid="{00000000-0006-0000-0600-000011000000}">
      <text>
        <r>
          <rPr>
            <b/>
            <sz val="9"/>
            <color indexed="81"/>
            <rFont val="Tahoma"/>
            <family val="2"/>
          </rPr>
          <t>DIANA PAOLA HERRERA:</t>
        </r>
        <r>
          <rPr>
            <sz val="9"/>
            <color indexed="81"/>
            <rFont val="Tahoma"/>
            <family val="2"/>
          </rPr>
          <t xml:space="preserve">
Describa  de manera concisa las actividades adelantadas.</t>
        </r>
      </text>
    </comment>
    <comment ref="M4" authorId="0" shapeId="0" xr:uid="{00000000-0006-0000-06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4" authorId="0" shapeId="0" xr:uid="{00000000-0006-0000-0600-000013000000}">
      <text>
        <r>
          <rPr>
            <b/>
            <sz val="9"/>
            <color indexed="81"/>
            <rFont val="Tahoma"/>
            <family val="2"/>
          </rPr>
          <t>DIANA PAOLA HERRERA:</t>
        </r>
        <r>
          <rPr>
            <sz val="9"/>
            <color indexed="81"/>
            <rFont val="Tahoma"/>
            <family val="2"/>
          </rPr>
          <t xml:space="preserve">
Describa  de manera concisa las actividades adelantadas.</t>
        </r>
      </text>
    </comment>
    <comment ref="O4" authorId="0" shapeId="0" xr:uid="{00000000-0006-0000-06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4" authorId="0" shapeId="0" xr:uid="{00000000-0006-0000-0600-000015000000}">
      <text>
        <r>
          <rPr>
            <b/>
            <sz val="9"/>
            <color indexed="81"/>
            <rFont val="Tahoma"/>
            <family val="2"/>
          </rPr>
          <t>DIANA PAOLA HERRERA:</t>
        </r>
        <r>
          <rPr>
            <sz val="9"/>
            <color indexed="81"/>
            <rFont val="Tahoma"/>
            <family val="2"/>
          </rPr>
          <t xml:space="preserve">
Describa  de manera concisa las actividades adelantadas.</t>
        </r>
      </text>
    </comment>
    <comment ref="Q4" authorId="0" shapeId="0" xr:uid="{00000000-0006-0000-06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4" authorId="0" shapeId="0" xr:uid="{00000000-0006-0000-06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500-000001000000}">
      <text>
        <r>
          <rPr>
            <b/>
            <sz val="9"/>
            <color indexed="81"/>
            <rFont val="Tahoma"/>
            <charset val="1"/>
          </rPr>
          <t>Enumere y describa las actividades a ejecutar durante la vigencia 2023.</t>
        </r>
      </text>
    </comment>
    <comment ref="C3" authorId="0" shapeId="0" xr:uid="{00000000-0006-0000-05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500-000003000000}">
      <text>
        <r>
          <rPr>
            <b/>
            <sz val="9"/>
            <color indexed="81"/>
            <rFont val="Tahoma"/>
            <charset val="1"/>
          </rPr>
          <t>Verifique si la actividad hace parte de los siguientes escenarios</t>
        </r>
      </text>
    </comment>
    <comment ref="J3" authorId="0" shapeId="0" xr:uid="{00000000-0006-0000-0500-000004000000}">
      <text>
        <r>
          <rPr>
            <sz val="9"/>
            <color indexed="81"/>
            <rFont val="Tahoma"/>
            <charset val="1"/>
          </rPr>
          <t xml:space="preserve">Indique el responsable del proyecto estratégico.
</t>
        </r>
      </text>
    </comment>
    <comment ref="S3" authorId="0" shapeId="0" xr:uid="{00000000-0006-0000-05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5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5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5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5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500-00000A000000}">
      <text>
        <r>
          <rPr>
            <b/>
            <sz val="9"/>
            <color indexed="81"/>
            <rFont val="Tahoma"/>
            <family val="2"/>
          </rPr>
          <t>Objetivos de Desarrollo Sostenible</t>
        </r>
      </text>
    </comment>
    <comment ref="E4" authorId="0" shapeId="0" xr:uid="{00000000-0006-0000-0500-00000B000000}">
      <text>
        <r>
          <rPr>
            <b/>
            <sz val="9"/>
            <color indexed="81"/>
            <rFont val="Tahoma"/>
            <family val="2"/>
          </rPr>
          <t>A qué meta del plan de desarrollo está asociada la actividad</t>
        </r>
      </text>
    </comment>
    <comment ref="F4" authorId="0" shapeId="0" xr:uid="{00000000-0006-0000-0500-00000C000000}">
      <text>
        <r>
          <rPr>
            <sz val="9"/>
            <color indexed="81"/>
            <rFont val="Tahoma"/>
            <family val="2"/>
          </rPr>
          <t xml:space="preserve">A qué politica Institucional de Gestión y Desempeño está asociada la actividad.
</t>
        </r>
      </text>
    </comment>
    <comment ref="G4" authorId="0" shapeId="0" xr:uid="{00000000-0006-0000-05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5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5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5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5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5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5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5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5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5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5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3" authorId="0" shapeId="0" xr:uid="{00000000-0006-0000-0700-000001000000}">
      <text>
        <r>
          <rPr>
            <b/>
            <sz val="9"/>
            <color indexed="81"/>
            <rFont val="Tahoma"/>
            <charset val="1"/>
          </rPr>
          <t>Enumere y describa las actividades a ejecutar durante la vigencia 2023.</t>
        </r>
      </text>
    </comment>
    <comment ref="C3" authorId="0" shapeId="0" xr:uid="{00000000-0006-0000-0700-000002000000}">
      <text>
        <r>
          <rPr>
            <b/>
            <sz val="9"/>
            <color indexed="81"/>
            <rFont val="Tahoma"/>
            <family val="2"/>
          </rPr>
          <t>DIANA PAOLA HERRERA:</t>
        </r>
        <r>
          <rPr>
            <sz val="9"/>
            <color indexed="81"/>
            <rFont val="Tahoma"/>
            <family val="2"/>
          </rPr>
          <t xml:space="preserve">
De acuerdo a la actividad propuesta determine la fórmula adecuada.</t>
        </r>
      </text>
    </comment>
    <comment ref="D3" authorId="0" shapeId="0" xr:uid="{00000000-0006-0000-0700-000003000000}">
      <text>
        <r>
          <rPr>
            <b/>
            <sz val="9"/>
            <color indexed="81"/>
            <rFont val="Tahoma"/>
            <charset val="1"/>
          </rPr>
          <t>Verifique si la actividad hace parte de los siguientes escenarios</t>
        </r>
      </text>
    </comment>
    <comment ref="J3" authorId="0" shapeId="0" xr:uid="{00000000-0006-0000-0700-000004000000}">
      <text>
        <r>
          <rPr>
            <sz val="9"/>
            <color indexed="81"/>
            <rFont val="Tahoma"/>
            <charset val="1"/>
          </rPr>
          <t xml:space="preserve">Indique el responsable del proyecto estratégico.
</t>
        </r>
      </text>
    </comment>
    <comment ref="S3" authorId="0" shapeId="0" xr:uid="{00000000-0006-0000-0700-000005000000}">
      <text>
        <r>
          <rPr>
            <b/>
            <sz val="9"/>
            <color indexed="81"/>
            <rFont val="Tahoma"/>
            <family val="2"/>
          </rPr>
          <t>DIANA PAOLA HERRERA:</t>
        </r>
        <r>
          <rPr>
            <sz val="9"/>
            <color indexed="81"/>
            <rFont val="Tahoma"/>
            <family val="2"/>
          </rPr>
          <t xml:space="preserve">
Defina la fecha en la que va a ejecutar la acción propuesta.</t>
        </r>
      </text>
    </comment>
    <comment ref="U3" authorId="0" shapeId="0" xr:uid="{00000000-0006-0000-0700-000006000000}">
      <text>
        <r>
          <rPr>
            <b/>
            <sz val="9"/>
            <color indexed="81"/>
            <rFont val="Tahoma"/>
            <family val="2"/>
          </rPr>
          <t>DIANA PAOLA HERRERA:</t>
        </r>
        <r>
          <rPr>
            <sz val="9"/>
            <color indexed="81"/>
            <rFont val="Tahoma"/>
            <family val="2"/>
          </rPr>
          <t xml:space="preserve">
Indique el presupuesto asignado según la fuente de recursos. </t>
        </r>
      </text>
    </comment>
    <comment ref="Y3" authorId="0" shapeId="0" xr:uid="{00000000-0006-0000-0700-000007000000}">
      <text>
        <r>
          <rPr>
            <b/>
            <sz val="9"/>
            <color indexed="81"/>
            <rFont val="Tahoma"/>
            <family val="2"/>
          </rPr>
          <t>DIANA PAOLA HERRERA:</t>
        </r>
        <r>
          <rPr>
            <sz val="9"/>
            <color indexed="81"/>
            <rFont val="Tahoma"/>
            <family val="2"/>
          </rPr>
          <t xml:space="preserve">
Esto corresponde al acumulado en el avance de la gestión.</t>
        </r>
      </text>
    </comment>
    <comment ref="Z3" authorId="0" shapeId="0" xr:uid="{00000000-0006-0000-0700-000008000000}">
      <text>
        <r>
          <rPr>
            <b/>
            <sz val="9"/>
            <color indexed="81"/>
            <rFont val="Tahoma"/>
            <family val="2"/>
          </rPr>
          <t>DIANA PAOLA HERRERA:</t>
        </r>
        <r>
          <rPr>
            <sz val="9"/>
            <color indexed="81"/>
            <rFont val="Tahoma"/>
            <family val="2"/>
          </rPr>
          <t xml:space="preserve">
Defina el porcentaje de avance en la ejecución del presupuesto.</t>
        </r>
      </text>
    </comment>
    <comment ref="AA3" authorId="0" shapeId="0" xr:uid="{00000000-0006-0000-0700-000009000000}">
      <text>
        <r>
          <rPr>
            <b/>
            <sz val="9"/>
            <color indexed="81"/>
            <rFont val="Tahoma"/>
            <family val="2"/>
          </rPr>
          <t>DIANA PAOLA HERRERA:</t>
        </r>
        <r>
          <rPr>
            <sz val="9"/>
            <color indexed="81"/>
            <rFont val="Tahoma"/>
            <family val="2"/>
          </rPr>
          <t xml:space="preserve">
Este espacio puede ser utilizado para justificar el no cumplimiento de la actividad.</t>
        </r>
      </text>
    </comment>
    <comment ref="D4" authorId="0" shapeId="0" xr:uid="{00000000-0006-0000-0700-00000A000000}">
      <text>
        <r>
          <rPr>
            <b/>
            <sz val="9"/>
            <color indexed="81"/>
            <rFont val="Tahoma"/>
            <family val="2"/>
          </rPr>
          <t>Objetivos de Desarrollo Sostenible</t>
        </r>
      </text>
    </comment>
    <comment ref="E4" authorId="0" shapeId="0" xr:uid="{00000000-0006-0000-0700-00000B000000}">
      <text>
        <r>
          <rPr>
            <b/>
            <sz val="9"/>
            <color indexed="81"/>
            <rFont val="Tahoma"/>
            <family val="2"/>
          </rPr>
          <t>A qué meta del plan de desarrollo está asociada la actividad</t>
        </r>
      </text>
    </comment>
    <comment ref="F4" authorId="0" shapeId="0" xr:uid="{00000000-0006-0000-0700-00000C000000}">
      <text>
        <r>
          <rPr>
            <sz val="9"/>
            <color indexed="81"/>
            <rFont val="Tahoma"/>
            <family val="2"/>
          </rPr>
          <t xml:space="preserve">A qué politica Institucional de Gestión y Desempeño está asociada la actividad.
</t>
        </r>
      </text>
    </comment>
    <comment ref="G4" authorId="0" shapeId="0" xr:uid="{00000000-0006-0000-0700-00000D000000}">
      <text>
        <r>
          <rPr>
            <b/>
            <sz val="9"/>
            <color indexed="81"/>
            <rFont val="Tahoma"/>
            <family val="2"/>
          </rPr>
          <t>DIANA PAOLA HERRERA:</t>
        </r>
        <r>
          <rPr>
            <sz val="9"/>
            <color indexed="81"/>
            <rFont val="Tahoma"/>
            <family val="2"/>
          </rPr>
          <t xml:space="preserve">
De acuerdo al Plan Estratégico.</t>
        </r>
      </text>
    </comment>
    <comment ref="H4" authorId="0" shapeId="0" xr:uid="{00000000-0006-0000-0700-00000E000000}">
      <text>
        <r>
          <rPr>
            <b/>
            <sz val="9"/>
            <color indexed="81"/>
            <rFont val="Tahoma"/>
            <family val="2"/>
          </rPr>
          <t>DIANA PAOLA HERRERA:</t>
        </r>
        <r>
          <rPr>
            <sz val="9"/>
            <color indexed="81"/>
            <rFont val="Tahoma"/>
            <family val="2"/>
          </rPr>
          <t xml:space="preserve">
Considere si estos datos pueden ser puestos a disposición de la ciudadanía, sin ninguna restricción para su descarga y utilización.</t>
        </r>
      </text>
    </comment>
    <comment ref="G5" authorId="0" shapeId="0" xr:uid="{00000000-0006-0000-0700-00000F000000}">
      <text>
        <r>
          <rPr>
            <b/>
            <sz val="9"/>
            <color indexed="81"/>
            <rFont val="Tahoma"/>
            <family val="2"/>
          </rPr>
          <t>DIANA PAOLA HERRERA:</t>
        </r>
        <r>
          <rPr>
            <sz val="9"/>
            <color indexed="81"/>
            <rFont val="Tahoma"/>
            <family val="2"/>
          </rPr>
          <t xml:space="preserve">
Revisa y elija según lista Desplegable</t>
        </r>
      </text>
    </comment>
    <comment ref="K5" authorId="0" shapeId="0" xr:uid="{00000000-0006-0000-0700-000010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L5" authorId="0" shapeId="0" xr:uid="{00000000-0006-0000-0700-000011000000}">
      <text>
        <r>
          <rPr>
            <b/>
            <sz val="9"/>
            <color indexed="81"/>
            <rFont val="Tahoma"/>
            <family val="2"/>
          </rPr>
          <t>DIANA PAOLA HERRERA:</t>
        </r>
        <r>
          <rPr>
            <sz val="9"/>
            <color indexed="81"/>
            <rFont val="Tahoma"/>
            <family val="2"/>
          </rPr>
          <t xml:space="preserve">
Describa  de manera concisa las actividades adelantadas.</t>
        </r>
      </text>
    </comment>
    <comment ref="M5" authorId="0" shapeId="0" xr:uid="{00000000-0006-0000-0700-000012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N5" authorId="0" shapeId="0" xr:uid="{00000000-0006-0000-0700-000013000000}">
      <text>
        <r>
          <rPr>
            <b/>
            <sz val="9"/>
            <color indexed="81"/>
            <rFont val="Tahoma"/>
            <family val="2"/>
          </rPr>
          <t>DIANA PAOLA HERRERA:</t>
        </r>
        <r>
          <rPr>
            <sz val="9"/>
            <color indexed="81"/>
            <rFont val="Tahoma"/>
            <family val="2"/>
          </rPr>
          <t xml:space="preserve">
Describa  de manera concisa las actividades adelantadas.</t>
        </r>
      </text>
    </comment>
    <comment ref="O5" authorId="0" shapeId="0" xr:uid="{00000000-0006-0000-0700-000014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P5" authorId="0" shapeId="0" xr:uid="{00000000-0006-0000-0700-000015000000}">
      <text>
        <r>
          <rPr>
            <b/>
            <sz val="9"/>
            <color indexed="81"/>
            <rFont val="Tahoma"/>
            <family val="2"/>
          </rPr>
          <t>DIANA PAOLA HERRERA:</t>
        </r>
        <r>
          <rPr>
            <sz val="9"/>
            <color indexed="81"/>
            <rFont val="Tahoma"/>
            <family val="2"/>
          </rPr>
          <t xml:space="preserve">
Describa  de manera concisa las actividades adelantadas.</t>
        </r>
      </text>
    </comment>
    <comment ref="Q5" authorId="0" shapeId="0" xr:uid="{00000000-0006-0000-0700-000016000000}">
      <text>
        <r>
          <rPr>
            <b/>
            <sz val="9"/>
            <color indexed="81"/>
            <rFont val="Tahoma"/>
            <family val="2"/>
          </rPr>
          <t>DIANA PAOLA HERRERA:</t>
        </r>
        <r>
          <rPr>
            <sz val="9"/>
            <color indexed="81"/>
            <rFont val="Tahoma"/>
            <family val="2"/>
          </rPr>
          <t xml:space="preserve">
Indique el porcentaje de avance de acuerdo a la aplicación del indicador.</t>
        </r>
      </text>
    </comment>
    <comment ref="R5" authorId="0" shapeId="0" xr:uid="{00000000-0006-0000-0700-000017000000}">
      <text>
        <r>
          <rPr>
            <b/>
            <sz val="9"/>
            <color indexed="81"/>
            <rFont val="Tahoma"/>
            <family val="2"/>
          </rPr>
          <t>DIANA PAOLA HERRERA:</t>
        </r>
        <r>
          <rPr>
            <sz val="9"/>
            <color indexed="81"/>
            <rFont val="Tahoma"/>
            <family val="2"/>
          </rPr>
          <t xml:space="preserve">
Describa  de manera concisa las actividades adelantadas.</t>
        </r>
      </text>
    </comment>
  </commentList>
</comments>
</file>

<file path=xl/sharedStrings.xml><?xml version="1.0" encoding="utf-8"?>
<sst xmlns="http://schemas.openxmlformats.org/spreadsheetml/2006/main" count="1981" uniqueCount="594">
  <si>
    <t>MATRIZ PLAN DE ACCIÓN 2023</t>
  </si>
  <si>
    <t>No.</t>
  </si>
  <si>
    <t xml:space="preserve">Actividades </t>
  </si>
  <si>
    <t>Indicador</t>
  </si>
  <si>
    <t>Actividades en cumplimiento a:</t>
  </si>
  <si>
    <t xml:space="preserve">Responsable </t>
  </si>
  <si>
    <t>Año 2023</t>
  </si>
  <si>
    <t xml:space="preserve">Ejecución </t>
  </si>
  <si>
    <t>Presupuesto</t>
  </si>
  <si>
    <t xml:space="preserve">% Avance Géstión </t>
  </si>
  <si>
    <t>% de Avance Presupuesto</t>
  </si>
  <si>
    <t xml:space="preserve">Observaciones </t>
  </si>
  <si>
    <t>ODS</t>
  </si>
  <si>
    <t>PMD</t>
  </si>
  <si>
    <t>Política MIPG</t>
  </si>
  <si>
    <t>PGE</t>
  </si>
  <si>
    <t>Datos Abiertos</t>
  </si>
  <si>
    <t>1º Trimestre</t>
  </si>
  <si>
    <t>2º Trimestre</t>
  </si>
  <si>
    <t>3º Trimestre</t>
  </si>
  <si>
    <t>4º Trimestre</t>
  </si>
  <si>
    <t>Fecha Inicio</t>
  </si>
  <si>
    <t>Fecha Final</t>
  </si>
  <si>
    <t>Proyecto de Inversión</t>
  </si>
  <si>
    <t xml:space="preserve">Programa Misional de Funcionamiento </t>
  </si>
  <si>
    <t xml:space="preserve">Otros Recursos </t>
  </si>
  <si>
    <t>Total Presupuesto Apropiado</t>
  </si>
  <si>
    <t>Estrategia</t>
  </si>
  <si>
    <t>Si</t>
  </si>
  <si>
    <t>No</t>
  </si>
  <si>
    <t>%</t>
  </si>
  <si>
    <t>Observaciones</t>
  </si>
  <si>
    <t>Gestionar recursos para la ejecución de proyectos de invesión de alto  impacto, que determinen gran beneficio para las actividades operacionales de la empresa, en pro de la prestación de un servicio contínuo y eficiente.</t>
  </si>
  <si>
    <t># de proyectos gestionados</t>
  </si>
  <si>
    <t>(6) Agua Limpia y Saneamiento Básico</t>
  </si>
  <si>
    <t>158-Planta de tratamiento de agua potable optimizada</t>
  </si>
  <si>
    <t>1. Planeación Institucional</t>
  </si>
  <si>
    <t>6. Suminstrar el servicio de acueducto con altos estándares de prestación.</t>
  </si>
  <si>
    <t>X</t>
  </si>
  <si>
    <t>GERENCIA</t>
  </si>
  <si>
    <t>PROYECTOS APROBADOS CON ASIGNACION DE RECURSOS,  PROCESOS EN EJECUCIÓN Y ADJUDICADOS</t>
  </si>
  <si>
    <t>ENERO DE 2023</t>
  </si>
  <si>
    <t>DICIEMBRE DE 2023</t>
  </si>
  <si>
    <t>CONTRATOS EN EJECUCION</t>
  </si>
  <si>
    <r>
      <rPr>
        <b/>
        <sz val="8"/>
        <color rgb="FF000000"/>
        <rFont val="Franklin Gothic Book"/>
      </rPr>
      <t>Socializar, aprobar implementar</t>
    </r>
    <r>
      <rPr>
        <sz val="8"/>
        <color rgb="FF000000"/>
        <rFont val="Franklin Gothic Book"/>
      </rPr>
      <t xml:space="preserve"> el Plan Estratégico de Comunicaciones.</t>
    </r>
  </si>
  <si>
    <t>Acciones ejecutadas /Acciones programadas *100.</t>
  </si>
  <si>
    <t>No Aplica</t>
  </si>
  <si>
    <t>6. Fortalecimiento organizacional y simplificación de procesos</t>
  </si>
  <si>
    <t>4. Lograr eficiencia en la gestión empresarial.</t>
  </si>
  <si>
    <t>x</t>
  </si>
  <si>
    <t>Profesional Planeación y Proyectos</t>
  </si>
  <si>
    <t>Se elaboró pero se encuentra pendiente para socializar en el Comité Institucional de Gestión y Desempeño el próximo 20 de abril de 2023.</t>
  </si>
  <si>
    <t>El pasado 18 de mayo  se socializó el PEC en el Comité Insitucional de Gestión y Desempeño, dejando claridad que está por definirse el tipo de información y canales que se utilizarán para efectos de difusión de la información.</t>
  </si>
  <si>
    <t>De acuerdo a los canales de comuncación vigentes se viene realizando publicaciones  de la gesti{on adelantada por la ESPA, en cuanto a comunicaciones internas, se tiene los grupos de whatsApp y correos electrónicos institucionales.</t>
  </si>
  <si>
    <t>Se elaboró y está pendiente por aprobación del Comité Institucional de Gestión y Desempeño.</t>
  </si>
  <si>
    <t>20/01/2023</t>
  </si>
  <si>
    <t>30/12/2023</t>
  </si>
  <si>
    <r>
      <rPr>
        <b/>
        <sz val="8"/>
        <color rgb="FF000000"/>
        <rFont val="Franklin Gothic Book"/>
      </rPr>
      <t>Actualizar y socializar</t>
    </r>
    <r>
      <rPr>
        <sz val="8"/>
        <color rgb="FF000000"/>
        <rFont val="Franklin Gothic Book"/>
      </rPr>
      <t xml:space="preserve"> la Guía de Rendición de Cuentas</t>
    </r>
  </si>
  <si>
    <t>5. Transparencia, acceso a la información pública y lucha contra la corrupción</t>
  </si>
  <si>
    <t>2. Posicionar la gestión empresarial con prácticas de transparencia.</t>
  </si>
  <si>
    <t>En comite Institucional de Gestión y Desempeño llevado a cabo el pasado 18 de mayo se socializa la fase de aprestamiento. Se encuentra pendiente definir los mecanismos a utilizar y los recursos.</t>
  </si>
  <si>
    <t xml:space="preserve">De acuerdo a la fase de aprestamiento, esta fue tomada como fuente de información para que a través de encuestas se pueda  definir los temas de interés de la comunidad que serán incluidos en el video de rendición de cuentas de la ESPA para el periodo 2023, incluyendo lo más relevante del cuatrienio 2020-2023. </t>
  </si>
  <si>
    <t>De acuerdo a los insumos obtenidos a través del plan estratégico de comunicaciones y de los resultados de una encuesta realizada a 155 personas  se obtiene información importante para la construcción de la Gúía de Rendición de cuentas.</t>
  </si>
  <si>
    <t>30/06/2023</t>
  </si>
  <si>
    <r>
      <rPr>
        <b/>
        <sz val="8"/>
        <color rgb="FF000000"/>
        <rFont val="Franklin Gothic Book"/>
      </rPr>
      <t>Actualizar</t>
    </r>
    <r>
      <rPr>
        <sz val="8"/>
        <color rgb="FF000000"/>
        <rFont val="Franklin Gothic Book"/>
      </rPr>
      <t xml:space="preserve"> el Plan Anticorrupción y hacer </t>
    </r>
    <r>
      <rPr>
        <b/>
        <sz val="8"/>
        <color rgb="FF000000"/>
        <rFont val="Franklin Gothic Book"/>
      </rPr>
      <t>monitoreo trimestral</t>
    </r>
  </si>
  <si>
    <t>Se realizó, publicó y se efectuó el Plan Anticorrupción y de Atención al Ciudadano. (3 acciones programadas y 3 ejecutadas)</t>
  </si>
  <si>
    <t>La oficina de Planeación y proyectos viene realizando el respectivo monitoreo al PAAC de manera trimestral y la evidencia queda en la matriz e informe de gestión.</t>
  </si>
  <si>
    <t>Actualmente se viene realizando el monitoreo correspondiente al 3° Trimestre  con la finalidad de enriquecer y evaluar las acciones propuestas.</t>
  </si>
  <si>
    <t>Se hizo el monitoreo respectivo para el cumplimiento de las acciones propuestas como control y prevención de los riesgos.</t>
  </si>
  <si>
    <t>31/12/2023</t>
  </si>
  <si>
    <r>
      <rPr>
        <sz val="8"/>
        <color rgb="FF000000"/>
        <rFont val="Franklin Gothic Book"/>
      </rPr>
      <t xml:space="preserve">Realizar </t>
    </r>
    <r>
      <rPr>
        <b/>
        <sz val="8"/>
        <color rgb="FF000000"/>
        <rFont val="Franklin Gothic Book"/>
      </rPr>
      <t xml:space="preserve">4 actividades </t>
    </r>
    <r>
      <rPr>
        <sz val="8"/>
        <color rgb="FF000000"/>
        <rFont val="Franklin Gothic Book"/>
      </rPr>
      <t>de fortalecimiento de los valores institucionales (Plan de Integridad) e igualdad de género</t>
    </r>
  </si>
  <si>
    <t>(5) Igualdad de Género</t>
  </si>
  <si>
    <t>4. Integridad</t>
  </si>
  <si>
    <t>10. Mejorar el clima y la cultura organizacional.</t>
  </si>
  <si>
    <t>Se proyectó la actividad y se socializó pero está pendiente la 1ª Jornada de los Valores, esta se realizará la tercera semana del mes de mayo.</t>
  </si>
  <si>
    <t>No se ha podido efectuar la actividad por priorización de otras actividades inherentes a la gestión y cumplimiento del objeto organizacional.</t>
  </si>
  <si>
    <t>A partir del 3° trimestre se programó que el  25 de cada mes se  conmemorará la No Violencia Contra La Mujer , dentro de la cual se han realizado actividades que incluyen a todos independientemente de su género. (Acciones programadas el 25 de cada mes y respectivamente ejecutadas).</t>
  </si>
  <si>
    <t>Se realizaron actividades resaltando los valores (Día de la No Violencia contra la Mujer 25 de cada mes). Se  desarrollaron espacios de compartir donde se dio aplicabilidad a los valores institucionales (Actividades navideñas).</t>
  </si>
  <si>
    <r>
      <rPr>
        <sz val="8"/>
        <color rgb="FF000000"/>
        <rFont val="Franklin Gothic Book"/>
      </rPr>
      <t>Realizar 06</t>
    </r>
    <r>
      <rPr>
        <b/>
        <sz val="8"/>
        <color rgb="FF000000"/>
        <rFont val="Franklin Gothic Book"/>
      </rPr>
      <t xml:space="preserve"> de reuniones </t>
    </r>
    <r>
      <rPr>
        <sz val="8"/>
        <color rgb="FF000000"/>
        <rFont val="Franklin Gothic Book"/>
      </rPr>
      <t>de Comité Institucional de Gestión y Desempeño.</t>
    </r>
  </si>
  <si>
    <t>No de reuniones realizadas/ No de reuniones proyectadas*100</t>
  </si>
  <si>
    <t>Para la anualidad se proyectaron 6 reuniones y durante el primer trimestre se han desarrollado 4.</t>
  </si>
  <si>
    <t>Durante el segundo trimestre se desarrolló una(1) reunión de Comité Institucional de Gestión y Desempeño, en la cual se abordaron temas que impactan la política de transparencia y participación ciudadana.</t>
  </si>
  <si>
    <t>Durante el 3° trimestre se llevaron a cabo 1 reuniones de Comité Institucional de Gestión y Desempeño. Lo cual permite evidenciar que se ha cumplido a cabalidad la meta proyectada para la vigencia 2023.</t>
  </si>
  <si>
    <t>Durante el cuarto trimestre se desarolló dos (2) reuniones , concluyendo la anualidad con 10 reuniones de Comité Institucional de gestión y desempeño.</t>
  </si>
  <si>
    <t>Meta (cuatrenio)</t>
  </si>
  <si>
    <t xml:space="preserve">Planta de tratamiento de aguas construidas PTAR. </t>
  </si>
  <si>
    <t>(Obras realizadas/Obras Proyectadas)*100</t>
  </si>
  <si>
    <t>155-Planta de tratamiento de aguas residuales construida (Dinamarca)</t>
  </si>
  <si>
    <t>8. Participación ciudadana en la gestión pública</t>
  </si>
  <si>
    <t>5. Promover prácticas sostenibles con el medio ambiente.</t>
  </si>
  <si>
    <t>Subg Acu y Alcant</t>
  </si>
  <si>
    <t>Contrato 053 de 2022 contruccion de planta de tratamiento de aguas residuales en el centro poblado de dinamarca. Dinero provenientes del sistema general de regalias.</t>
  </si>
  <si>
    <t>Obras enfocadas en el mejoramiento y optimizacion de las Planta de tratamiento de agua potable PTAP</t>
  </si>
  <si>
    <t>(Obras realizadas/Obras programadas)*100</t>
  </si>
  <si>
    <t>159-Planta de tratamiento de agua potable</t>
  </si>
  <si>
    <t>17. Seguimiento y evaluación del desempeño institucional</t>
  </si>
  <si>
    <t>Se viabilizo el proyecto cuyo objeto "AMPLIACIÓN DE LAS INSTALACIONES Y OPTIMIZACION DEL SISTEMA ELECTRICO DE LA PLANTA DE TRATAMIENTO DE AGUA POTABLE LAS BLANCAS Y REMODELACION DE RED DE MEDIA TENSION Y SUBESTACION ELECTRICA PARA LA PTAP ACACIITAS EN EL MUNICIPIO DE ACACÍAS” – BPIN 2023500060017"</t>
  </si>
  <si>
    <t xml:space="preserve">El proyecto cuyo objeto AMPLIACIÓN DE LAS INSTALACIONES Y OPTIMIZACION DEL SISTEMA ELECTRICO DE LA PLANTA DE TRATAMIENTO DE AGUA POTABLE LAS BLANCAS Y REMODELACION DE RED DE MEDIA TENSION Y SUBESTACION ELECTRICA PARA LA PTAP ACACIITAS EN EL MUNICIPIO DE ACACÍAS” – BPIN 2023500060017" se encuentra en proceso de contratacion, el cual busca realizar la mejora de las instalaciones de los laboratorios. </t>
  </si>
  <si>
    <t>El proyecto cuyo objeto AMPLIACIÓN DE LAS INSTALACIONES Y OPTIMIZACION DEL SISTEMA ELECTRICO DE LA PLANTA DE TRATAMIENTO DE AGUA POTABLE LAS BLANCAS Y REMODELACION DE RED DE MEDIA TENSION Y SUBESTACION ELECTRICA PARA LA PTAP ACACIITAS EN EL MUNICIPIO DE ACACÍAS” – BPIN 2023500060017" se encuentra adjudicado el dia  31 de julio de 2023</t>
  </si>
  <si>
    <t>El proyecto cuyo objeto AMPLIACIÓN DE LAS INSTALACIONES Y OPTIMIZACION DEL SISTEMA ELECTRICO DE LA PLANTA DE TRATAMIENTO DE AGUA POTABLE LAS BLANCAS Y REMODELACION DE RED DE MEDIA TENSION Y SUBESTACION ELECTRICA PARA LA PTAP ACACIITAS EN EL MUNICIPIO DE ACACÍAS” – BPIN 2023500060017" se encuentra contratado bajo los numeros de obra 115 de 2023 e interventoria 120 de 2023</t>
  </si>
  <si>
    <t>Generar acciones que contribuyan a la reduccion del IANC (Indice de Agua no Contabilizada)</t>
  </si>
  <si>
    <t>(Inspecciones realizadas/ Inspecciones programadas) * 100</t>
  </si>
  <si>
    <t xml:space="preserve">Elaboracion, adopcion e implementacion del plan de mejoramiento de laboratorio </t>
  </si>
  <si>
    <t>Acciones ejecutadas / acciones programadas * 100</t>
  </si>
  <si>
    <t>En la optimización del laboratorio de control de calidad de agua potable según los estándares de calidad exigidos por la Resolución 1619 de 2015 se han desarrollado las siguientes actividades:
1) Adecuación de la infraestructura del laboratorio, separando las áreas de análisis microbiológico y de análisis fisicoquimico con sus respectivas zonas de lavado y zonas especificas de ejecución de procedimientos. 
2)Adquisición de reactivos de pruebas químicas, de control de proceso (patrones), de equipos e instrumentos de medición para dar cumplimiento con los lineamientos requeridos.
3)Realización de la documentación de calidad y de los procedimientos de laboratorio.
4)Capacitación y Certificación en Competencias Laborales del personal de laboratorio.</t>
  </si>
  <si>
    <t xml:space="preserve">El proyecto cuyo objeto "MEJORAMIENTO DE LAS INSTALACIONES DE LA PLANTA DE TRATAMIENTO DE AGUA POTABLE LAS BLANCAS (FASE I) EN EL MUNICIPIO DE ACACIAS DEPARTAMENTO DEL META" se encuentra en proceso de contratacion, el cual busca realizar la mejora de las instalaciones de los laboratorios. </t>
  </si>
  <si>
    <t>El proyecto cuyo objeto "MEJORAMIENTO DE LAS INSTALACIONES DE LA PLANTA DE TRATAMIENTO DE AGUA POTABLE LAS BLANCAS (FASE I) EN EL MUNICIPIO DE ACACIAS DEPARTAMENTO DEL META" se contrato bajo el numero de 118 de 2023 se lleva un avance de 25%</t>
  </si>
  <si>
    <t xml:space="preserve">Obras de infraestructura, enfocadas en el mejoramiento y estabilizacion de la bocatoma actual. </t>
  </si>
  <si>
    <t>se encuentra contratado el proyecto cuyo objeto "OPTIMIZACIÓN DE LA BOCATOMA EN LA QUEBRADA LAS BLANCAS DEL MUNICIPIO DE ACACIAS"</t>
  </si>
  <si>
    <t xml:space="preserve">se encuentra contratado el proyecto cuyo objeto "OPTIMIZACIÓN DE LA BOCATOMA EN LA QUEBRADA LAS BLANCAS DEL MUNICIPIO DE ACACIAS" bajo el numero 121 de 2023, asi mismo se encuentra suspendido por motivos de ingreso </t>
  </si>
  <si>
    <t>se encuentra contratado el proyecto cuyo objeto "OPTIMIZACIÓN DE LA BOCATOMA EN LA QUEBRADA LAS BLANCAS DEL MUNICIPIO DE ACACIAS" bajo el numero 121 de 2023, y con reinicio 22 de diciembre de 2323</t>
  </si>
  <si>
    <t xml:space="preserve">obras de ampliacion y/o reposicion de redes de acueducto </t>
  </si>
  <si>
    <t>10 Km</t>
  </si>
  <si>
    <t>se encuentra en ejecucion los siguientes proyectos
- "MEJORAMIENTO ALCANTARILLADO SANITARIO DE LAS CARRERAS 15A 16A ENTRE RIO ACACIITAS Y CALLE 17, CARRERA 15 ENTRE 17 Y 19, CARRERAS 21 Y 22 ENTRE CALLES 18 Y 19, CARRERA 18A ENTRE CALLE 17 Y 18 Y OPTIMIZACIÓN DE LAS REDES DE ACUEDUCTO EN LA DIAGONLA 15 ENTRE CARRERA 20 Y 23, CALLE 16 ENTRE CARRERA 21 Y 23 CARRERA 22 ENTRE DIAGONAL 15 Y CALLE 16 EN EL MUNICIPIO DE ACACIAS - META.
-“MEJORAMIENTO REDES DE ACUEDUCTO SOBRE LA CALLE 15 ENTRE CARRERAS 12 Y 23, SECTORES DELIMITADOS ENTRE LAS CARRERAS 18 Y 22 ENTRE CALLES 14 Y 16, CARRERAS 15 Y 17 ENTRE CALLES 15 Y 16, CARRERA 12 ENTRE CALLES 14 Y 15 EN EL MUNICIPIO DE ACACIAS – META”, 
-CONSTRUCCIÓN ALCANTARILLADO PLUVIAL  Y REPOSICIÓN DE REDES DE ACUEDUCTO Y ALCANTARILLADO SANITARIO EN EL BARRIO DORADO BAJO DEL MUNICIPIO DE ACACIAS-META,  REPOSICION Y AMPLIACION DE LAS REDES DE ACUEDUCTO, ALCANTARILLADO SANITARIO Y PLUVIAL DEL BARRIO LOS ANDES EN EL MUNICIPIO DE ACACIAS - META</t>
  </si>
  <si>
    <t xml:space="preserve">Obras de ampliacion y/o reposicion de redes de alcantarillado </t>
  </si>
  <si>
    <t xml:space="preserve">Campañas de concientizacion en el ahorro y el uso eficiente del agua </t>
  </si>
  <si>
    <t>numero de campañas realizadas / numero de campañas programadas * 100</t>
  </si>
  <si>
    <t>Se programa la campaña de concientizacion en la parte alta de la Bocatoma , sencibilizando a la comunidad aledaña a el buen manejo del recurso hidrico y manejo de residuos solidos.</t>
  </si>
  <si>
    <t>No se realizo campañas</t>
  </si>
  <si>
    <t xml:space="preserve">Renovacion PSMV centro poblado Dinamarca </t>
  </si>
  <si>
    <t>Se requiere la contratacon de una consultoria para la actualizacion del PSMV del centro poblado, la actualizacion se debe estar lista para presentacion en el 2024</t>
  </si>
  <si>
    <t>Embellecimiento y mantenimiento de zonas verdes comunes públicas enmarcadas en el "programa Acacìas un Jardín"</t>
  </si>
  <si>
    <t>(Número de jornadas realizadas / Total de jornadas programadas)*100</t>
  </si>
  <si>
    <t>(11) Ciudades y Comunidades Sostenibles.</t>
  </si>
  <si>
    <t xml:space="preserve">Ténico recursos naturlaes / CPS CLUS </t>
  </si>
  <si>
    <t xml:space="preserve">Se realizaron dos jornadas de embellecimiento: 
1. Jornada de Recolección, mantenimiento y embellecimiento en puntos críticos con el acompañamiento de los estudiantes del grado 11° del Colegio “Luis Carlos Galán Sarmiento”
2. Se realiza la actividad de siembra de Arboles en conmemoración del “Día del Árbol”. </t>
  </si>
  <si>
    <t xml:space="preserve">Se realizaron dos jornadas de embellecimiento: 
1. Recuperación de puntos criticos (mantenimiento de las plantas y elementos) 
Jornada de reforestación de especies protectoras </t>
  </si>
  <si>
    <t xml:space="preserve">3. Actividades de embellecimiento y ornato
3. Capacitaciones en separación en la fuente de residuos sólidos 
1. Jornada de recuperación de punto crítico 
1. Jornada de resolección de residuos sólidos en fuente hidrica 
</t>
  </si>
  <si>
    <t>Socializar a la comunidad las condiciones de prestación del Servicio, separación, selección, manejo y aprovechamiento en la fuente de los residuos sólidos orgánicos.</t>
  </si>
  <si>
    <t>Número de socializaciones realizadas / socializaciones programadas * 100</t>
  </si>
  <si>
    <t>7. Servicio al ciudadano</t>
  </si>
  <si>
    <t>1. Incrementar el nivel de satisfacción de los usuarios.</t>
  </si>
  <si>
    <t>Ténico recursos naturlaes</t>
  </si>
  <si>
    <t>Se han realizado divulagaciones por medios masivos la socialización a la comunidad las condiciones de prestación del Servicio, separación, selección, manejo y aprovechamiento en la fuente de los residuos sólidos orgánicos.</t>
  </si>
  <si>
    <t>Actualizar programas y protocolos de prestación de servicio público de aseo e implementar la estandarización de los procesos para los servicios prestados por el área (Recolección y transporte, Barrido y limpieza de areas publicas, corte de cesped, poda de arboles,lavado de áreas publicas e instalación de cestas).</t>
  </si>
  <si>
    <t>8. Suministrar el servicio de aseo con altos estándares de prestación.</t>
  </si>
  <si>
    <t>Subgerente de Aseo /CPS CLUS</t>
  </si>
  <si>
    <t>Se continua con los mismos protocolos, ya que las rutas y frecuencias continuan siendo las mismas.</t>
  </si>
  <si>
    <t>Ejecutar las actividades correspondientes a los convenios con entidades educativas para el cumplimiento de horas sociales de la media técnica ambiental.</t>
  </si>
  <si>
    <t>Acciones realizadas/Acciones programadas*100</t>
  </si>
  <si>
    <t>152-Programas de separación, selección, manejo y aprovechamiento en la fuente de los residuos sólidos</t>
  </si>
  <si>
    <t xml:space="preserve">Técnico  Recursos Naturales  / Auxiliar Administrativo </t>
  </si>
  <si>
    <t>Se realizaron convenios interistitucionales con los colegios Maria Montessori, Luis Carlos Galán y Santa Teresita</t>
  </si>
  <si>
    <t xml:space="preserve">Se realizo convenio con Colegio de Dinamarca </t>
  </si>
  <si>
    <t xml:space="preserve">Se cuenta con los convenios activos con los colegios:  Maria Montessori, Luis Carlos Galán, Santa Teresita y Institución educativa de Dinamarca </t>
  </si>
  <si>
    <t xml:space="preserve">Se dio cumplimiento con el apoyo para la ejecucción de las horas sociales mediante los  convenios  con los colegios:  Maria Montessori, Luis Carlos Galán, Santa Teresita y Institución educativa de Dinamarca </t>
  </si>
  <si>
    <t>Establecer la información para publicaciones de actividades realizadas de la subgerencia de aseo y buenas practicas en el manejo de residuos solidos en la pagina web</t>
  </si>
  <si>
    <t>Técnico  Recursos Naturales  / Auxiliar Administrativo / CPS CLUS</t>
  </si>
  <si>
    <t xml:space="preserve">Se han realizado públicaciones en el manejo adecuado de los residuos, creacción de conciencia ambiental a traves de la pagina institucional y pagina de Facebook </t>
  </si>
  <si>
    <t>Implementar soluciones para el servicio de recolección de residuos sólidos en el área rural.</t>
  </si>
  <si>
    <t>151-Servicios de recolección de residuos en el sector rural</t>
  </si>
  <si>
    <t>3. Incrementar los ingresos operacionales.</t>
  </si>
  <si>
    <t xml:space="preserve">Se continua con la prestación del servicio de recolección de residuos en el área rural </t>
  </si>
  <si>
    <t xml:space="preserve">Incentivar a los usuarios a realizar los pagos por pse en el respaldo de la factura y redes </t>
  </si>
  <si>
    <t>usuarios que pagaron por pse /total de usuarios con factura vigente/ * 100</t>
  </si>
  <si>
    <t>no</t>
  </si>
  <si>
    <t>facturacion</t>
  </si>
  <si>
    <t>en promedio fueron 27329 por cada periodo para pago de las cuales el 13% se pagaron por medio de pse</t>
  </si>
  <si>
    <t>en promedio fueron 27495 por cada periodo para pago de las cuales el 15% se pagaron por medio de pse</t>
  </si>
  <si>
    <t>en promedio fueron 27712 por cada periodo para pago de las cuales el  14.63% se pagaron por medio de pse</t>
  </si>
  <si>
    <t>en promedio fueron 27804 facturas por cada periodo para pago, de las cuales el  13,48% se pagaron por medio de pse</t>
  </si>
  <si>
    <t>Aumentar el pago en linea en los usuarios para alcanzar un 2% de recaudo por este medio del total facturado del periodo</t>
  </si>
  <si>
    <t>valor recaudado por medio pse/valor del facturado del periodo * 100</t>
  </si>
  <si>
    <t>el 2% del total facturado del periodo en este trimestre fue de % 65.747.507.38, y el recaudado de dicho valor por medio de pse fue de $167.680.871, por ende se supero el 100% de lo proyectado para este trimestre</t>
  </si>
  <si>
    <t>el recaudado por medio de pse fue de $167.680.871, por ende se supero el 100% de lo proyectado para este trimestre</t>
  </si>
  <si>
    <t>el recaudado por medio de pse fue de $203280065, por ende se supero el 100% de lo proyectado para este trimestre</t>
  </si>
  <si>
    <t>el recaudado por medio de pse fue de $216,623,855,44, por ende se supero el 100% de lo proyectado para este trimestre</t>
  </si>
  <si>
    <t>Realizar visitas de consumo cero o obsolecencias tecnologicas de medidores para evitar perdidas a la empresa.</t>
  </si>
  <si>
    <t>(Medidores para cambio / Medidores Cambiados)*100</t>
  </si>
  <si>
    <t>PROFESIONAL COMERCIAL</t>
  </si>
  <si>
    <t>Mediante visitas de consumo cero y su notificacion respectiva de medidores obsoletos se ha cambiado 139 medidores .</t>
  </si>
  <si>
    <t>Mediante visitas de consumo cero y su notificacion respectiva de medidores obsoletos se ha cambiado 174  medidores .</t>
  </si>
  <si>
    <t>mediante visitas de consumo cero, entrega de notificaciones se cambiaron 170 medidores.</t>
  </si>
  <si>
    <t>mediante visitas de consumo cero, entrega de notificaciones se cambiaron 147 medidores.</t>
  </si>
  <si>
    <t>Visitas a predios con la finalidad de lograr la vinculación del servicio en sectores y viviendas sin normalizar.</t>
  </si>
  <si>
    <t>(Nùmero de predios visitados/nùmero de predios normalizados)*100</t>
  </si>
  <si>
    <t>Se ha visitado predios, mediante reuniones para matriculas, las cuales son 75 matriculas nuevas de servicios especiales.</t>
  </si>
  <si>
    <t>Se ha visitado predios, mediante reuniones para matriculas, las cuales son 52 matriculas nuevas de servicios especiales.</t>
  </si>
  <si>
    <t>se visito predios, los cuales se realizo 106 matriculas de servicios especiales.</t>
  </si>
  <si>
    <t>Se visitó predios, los cuales se realizó 65 matrículas de servicios especiales.</t>
  </si>
  <si>
    <t>Determinar el valor de las pérdidas de agua y realizar las actividades para la mitigación</t>
  </si>
  <si>
    <t>Índice de pérdidas por usuario facturado - IPUF = Vs Volumen Suministrado - Volumen Facturado / Nc Numero de promedio de usuarios</t>
  </si>
  <si>
    <t>IPUF=  1.863.232 - 1,251,181 
 /  76,825  = 7.96%</t>
  </si>
  <si>
    <t>Realizar matriculas para nuevos usuarios en cualquier servicio.</t>
  </si>
  <si>
    <t>(Nùmero de usuarios matriculas/nùmero de nuevos usuarios matriculados)*100</t>
  </si>
  <si>
    <t xml:space="preserve">En predios ilegales hemos logrado matricular 75 servicios especiales, </t>
  </si>
  <si>
    <t xml:space="preserve">En predios ilegales hemos logrado matricular 52 servicios especiales, </t>
  </si>
  <si>
    <t>En predios ilegales hemos logrado matricular 106 servicios especiales.</t>
  </si>
  <si>
    <t>En predios ilegales hemos logrado matricular 65 servicios especiales.</t>
  </si>
  <si>
    <t xml:space="preserve"> Implementar y ejecutar la estructura comercial realizando visitas para cambio de uso o estrato.</t>
  </si>
  <si>
    <t>(Numero de cambio de uso o estrato visitado / numero de cambio de uso o estrato implementado) * 100</t>
  </si>
  <si>
    <t>Se ha realizado visitas a locales comerciales del municipio, en los cuales se hicieron 39 cambios de uso de residencial a comercial, y 5 cambios de estrato, los cuales el usuario hace el requerimiento.</t>
  </si>
  <si>
    <t>Se ha realizado visitas a locales comerciales del municipio, en los cuales se hicieron 7 cambios de uso de residencial a comercial, y 3 cambios de estrato, los cuales el usuario hace el requerimiento.</t>
  </si>
  <si>
    <t>Se ha realizado visitas a locales comerciales del municipio, en los cuales se hicieron 6 cambios de uso de residencial a comercial, y 5 cambios de estrato, los cuales el usuario hace el requerimiento.</t>
  </si>
  <si>
    <t>Se ha realizado visitas a locales comerciales del municipio, en los cuales se hicieron 3 cambios de uso de residencial a comercial, y 3 cambios de estrato, los cuales el usuario hace el requerimiento.</t>
  </si>
  <si>
    <t>Lograr disminuir la defraudación de fluidos e implementar estrategias comerciales para el control de conexiones de predios ilegales</t>
  </si>
  <si>
    <t>(Numero de usuarios ilegales visitados / Numero de usuarios matriculados ante la ESPA) * 100</t>
  </si>
  <si>
    <t>Se ha trabajado junto con el personal operativo para mitigar las conexiones ilegales, mediante revisiones y suspenciones a predios ilegales, los cuales se ha realizado 78 suspenciones.</t>
  </si>
  <si>
    <t>Se ha trabajado junto con el personal operativo para mitigar las conexiones ilegales, mediante revisiones y suspenciones a predios ilegales, los cuales se ha realizado 35 suspenciones.</t>
  </si>
  <si>
    <t>Se ha trabajado junto con el personal operativo para mitigar las conexiones ilegales, mediante revisiones y suspenciones a predios ilegales, los cuales se ha realizado  34suspenciones.</t>
  </si>
  <si>
    <t>Se ha trabajado junto con el personal operativo para mitigar las conexiones ilegales, mediante revisiones y suspensiones a predios ilegales, los cuales se ha realizado 0 suspensiones.</t>
  </si>
  <si>
    <t>Realizar y socializar  el calculo anual aplicando la tecnologia  del rubro de sentencias y conciliaciones. De acuerdo con la normatividad de la contaduría General, para 2016 estas metodologías deben cumplir con normas NIIF para el sector público.</t>
  </si>
  <si>
    <t>acciones ejecutadas / programadas*100</t>
  </si>
  <si>
    <t>12. Defensa jurídica</t>
  </si>
  <si>
    <t>11. Implementar el uso de TIC y herramientas de gestión empresarial.</t>
  </si>
  <si>
    <t>OFICINA JURIDICA Y CONTTRATACIÓN</t>
  </si>
  <si>
    <t>Si este proceso se realiza de forma conjunta desde la oficina jurídica, el asesor jurídico externo con las dependencias Subgerencia Administrativa, Comercial y Financiera, Gerencia, Control Interno y Contabilidad.</t>
  </si>
  <si>
    <t>Durante la ejecución del segundi trimestre se ha realizado la revisión de las contingencias contables de los procesos judiciales las cuales no han necesitado realizarse moviento alguno de dichas reservas</t>
  </si>
  <si>
    <t>Durante la ejecución del segundo semetre se ha realizado la revisión de las contingencias contables de los procesos judiciales las cuales se realizó la observación que para la vigencia 2024 se debe tener en cuenta las demandas por procesos de servidumbres que interpuso la ESPA ESP</t>
  </si>
  <si>
    <t>enero de 2023</t>
  </si>
  <si>
    <t>diciembre 2023</t>
  </si>
  <si>
    <t>N.A.</t>
  </si>
  <si>
    <t>a medida que se ejecuta las actividades se actualiza la información</t>
  </si>
  <si>
    <t>Mantener actualizado La información o base de datos que contenga los procesos en los que hace parte o es tercero interviniente la ESP</t>
  </si>
  <si>
    <t>numero de actualizaciones / total de procesos *100</t>
  </si>
  <si>
    <t>La oficina jurídica y contratación en los aquipos de computo y los correos electrónicos institucionales se tiene la información y ésta se retroalimentará el invenatario cuando exita necesidad alguna o cuando cambie la sitacuón o estado del proceso, conforme a la información que suminitre el asesor jurídico externo</t>
  </si>
  <si>
    <t>Durante la ejecución del segundo semetre se realiza de forma contínua el uso de las técnologías de información, sus herramientas y apliaciones en el manejo diario de la información que se encuentra a cargo en ésta dependencia.</t>
  </si>
  <si>
    <t>La oficina jurídica y contratación en los Equipos de computo y los correos electrónicos institucionales se tiene la información y ésta se retroalimentará el invenatario cuando exita necesidad alguna o cuando cambie la sitacuón o estado del proceso, conforme a la información que suminitre el asesor jurídico externo</t>
  </si>
  <si>
    <t>la información se actualza en totalidad al final de cada mes</t>
  </si>
  <si>
    <t>Actualizar el archivo físico y/o magnética, todo lo respectivo al trámite de los procesos judiciales.</t>
  </si>
  <si>
    <t>Si, en los anaqueles de archivo de la oficina jurídica y contratación existen copias físicas, copias digitalizadas guardadas en CD en las carpetas y éstas se retroalimentará el invenatario cuando exita necesidad alguna o cuando cambie la sitacuón o estado del proceso, conforme a la información que suminitre el asesor jurídico exter</t>
  </si>
  <si>
    <t>Durante la ejecución del segundo semetre en las instalaciones físicas y en el aplicativo de Sysman se ha mantenido actualizada la información de los procesos judiciales e inclusive de las tres demandas nuevas interpuesta por la entidad en el segundo trimestre del año por servidumbres permanentes en el sistema de acueducto</t>
  </si>
  <si>
    <t>Durante la ejecución del tercer semetre en las instalaciones físicas y en el aplicativo de Sysman se ha mantenido actualizada la información de los procesos judiciales e inclusive de las tres demandas nuevas interpuesta por la entidad en el segundo trimestre del año por servidumbres permanentes en el sistema de acueducto</t>
  </si>
  <si>
    <t>Se tiene que durante el 2023 se ha recopilado un total de 42 procesos juduciales, administrativos y sancionatorios ambientales</t>
  </si>
  <si>
    <t>Expedir y notificar los mandamientos de pago en cada uno de los procesos de cobro coactivo para interrupir los término de prescripción de los deudores morosos en el pago de la facturas de los servicios que brinda la entidad</t>
  </si>
  <si>
    <t>numero de notificaciones / mandamientos expedidos *100</t>
  </si>
  <si>
    <t>La oficina jurídica y contratación, realizará las acciones peretinentes, cuando la ocasión así lo amerite.</t>
  </si>
  <si>
    <t xml:space="preserve">Durante la ejecución del segundo semetre  se ha realizado de acuerdo a las etapas prcoesales las acciones y procesos pertinentes de los procesos de cobro coactivo que realiza la entidad a sus usuarios que se encuentran morosos </t>
  </si>
  <si>
    <t>Durante este trimestre se adelantaron las gestiones pertienentes a los procesos de cobro coactivo, se realizaron 7 oficios de embargos a cuentas bancarias</t>
  </si>
  <si>
    <t>Durante la ejecición de éste  trimestre se tiene copia física de los procesos que se tienen en curso por concepto de cobro coactivo</t>
  </si>
  <si>
    <t>Actualizar el archivo fisico  y/o magnética, todo lo respectivo al trámite de los procesos de cobro coactivo</t>
  </si>
  <si>
    <t>numero de actualizaciones / total de cobros *100</t>
  </si>
  <si>
    <t>Si, en los anaqueles de archivo de la oficina jurídica y contratación existenl os procesos que tramite la entidad por COBRO COACTIVO.</t>
  </si>
  <si>
    <t>Durante la ejecición de éste segundo trimestre se tiene copia física de los procesos que se tienen en curso por concepto de cobro coactivo</t>
  </si>
  <si>
    <t>Durante este trimestre se custodia el archivo en fisico y digital en el correo electroinico del area de cobro coactivo</t>
  </si>
  <si>
    <t xml:space="preserve">Mantener actualizado La información o base de datos el la pagina del SECOP que contenga los procesos </t>
  </si>
  <si>
    <t>numero de procesos cargadis / total de procesos suscritos *100</t>
  </si>
  <si>
    <t>Los 10 primeros días hábiles de cada mes, de forma semestral y anual</t>
  </si>
  <si>
    <t>ésta actividad se realiza de forma contínua durante los 10 primeros días hábiles de cada mes, de forma semestral y anual</t>
  </si>
  <si>
    <t>Evaluar la satisfaccion del cliente a traves de la elaboración de una encuesta.</t>
  </si>
  <si>
    <t>Nivel de satisfacción de los usuarios: (No de usuarios satisfechos / No usuarios encuestados) *100</t>
  </si>
  <si>
    <t>PROFESIONAL SERVICIO AL CLIENTE</t>
  </si>
  <si>
    <t xml:space="preserve">Este primer trimestre no se realizo encuesta de satisfaccion de usuarios, ya que aun esta en proceso de aprobacion para poder ejecutarla. </t>
  </si>
  <si>
    <t xml:space="preserve">Se encuestaron 110 usuarios y teniendo en cuenta los resultados se pudo constatar que de Excelente 25%, Bueno 50%, Regular 20% y Malo 5%. Nuestro nivel de satisfaccion se encuentra en nivel satisfactorio. </t>
  </si>
  <si>
    <t>En este trimestre no se realizaron encuestas, pero nos enfocamos en realizar una optima atencion a los usuarios que se presentan diariamente a realizar las respectivas peticiones, quejas y reclamos, de lo cual se lleva un registro del mismo y seguimiento para lograr que su requerimiento sea solucionado si es el caso inmediatamente o iniciar la respectiva revision para solucionar el inconveniente del usuario.</t>
  </si>
  <si>
    <t>Realizar y aplicar una encuesta de caracterizacion de usuarios semestral.</t>
  </si>
  <si>
    <t>No de encuestas aplicadas / 2 *100</t>
  </si>
  <si>
    <t>En el segundo trimestre se realizara la encuesta de caracterizacion de usuarios</t>
  </si>
  <si>
    <t xml:space="preserve">En la encuesta una pregunta sobre la caracterización familiar: 1. Madre Cabeza de Familia (22) 2. Padre Cabeza de Familia (15) 3. Otro tipo de hogar (20). </t>
  </si>
  <si>
    <t xml:space="preserve">Trimestralmente se atienden aproximadamente 600 usuarios, la finalidad es lograr mantener siempre el mejor servicio. Teniendo en cuenta que de esta cantidad de usuarios solo se genera 103 PQR´s en este trimestre, el resto de usuarios se resuelve su inquietud de manera inmediata. </t>
  </si>
  <si>
    <t xml:space="preserve">Trimestralmente se atienden aproximadamente 600 usuarios, la finalidad es lograr mantener siempre el mejor servicio. Teniendo en cuenta que de esta cantidad de usuarios solo se genera 78 PQR´s en este trimestre, el resto de usuarios se resuelve su inquietud de manera inmediata. </t>
  </si>
  <si>
    <t>Elaboraciòn, aprobación e implementación del Manual de Atención al Usuario. ( Presencial, Vía telefónica, redes sociales).</t>
  </si>
  <si>
    <t>No de acciones ejecutadas / programadas * 100</t>
  </si>
  <si>
    <t>9. Fortalecer las competencias del personal.</t>
  </si>
  <si>
    <t>Se estan realizando mejoras en el manual del usuario para poder presentarlo a nuestros usuarios.</t>
  </si>
  <si>
    <t>Para fortalecer las competencias personales, se está realizando seguimiento de cómo se debe atender correctamente un usuario, dependiendo de su tipo de reclamación y personalidad para evitar inconvenientes y choques con los mismos. En el tercer trimestre se realizara capacitaciones y mejora en el manual de atención al usuario.</t>
  </si>
  <si>
    <t>Para fortalecer las competencias personales, se está realizando seguimiento de cómo se debe atender correctamente un usuario, dependiendo de su tipo de reclamación. En el tercer trimestre el personal se enfoco en mejorar las competencias laborales de prestación del servicio al cliente en resolución de PQR´s de los usuarios en tiempo real.</t>
  </si>
  <si>
    <t>Para fortalecer las competencias personales, se está realizando seguimiento de cómo se debe atender correctamente un usuario, dependiendo de su tipo de reclamación. En el cuarto trimestre el personal se enfocó en mejorar las competencias laborales de prestación del servicio al cliente en resolución de PQR´s de los usuarios en tiempo real.</t>
  </si>
  <si>
    <t>Establecer un plan de mejora a partir de las PQR de mayor impacto durante la vigencia 2023.</t>
  </si>
  <si>
    <t>Reducir en un 3% el nivel de PQR de mayor impacto de la vigencia 2023.</t>
  </si>
  <si>
    <t xml:space="preserve">Se realiza comparacion de el primer trimestre del año 2022 y el presente año y hay una disminucion del 13% de PQR. </t>
  </si>
  <si>
    <t>Gracias al seguimiento de los procesos este segundo trimestre se tuvo una efectividad del 94%, debido a la pronta gestión de cada uno de las personas vinculadas en este proceso. Logrando un resultado de respuesta positivo de PQR´s.</t>
  </si>
  <si>
    <t>De 103 casos recibidos, actualmente se tiene 8 pendientes con un nivel de efectividad del 92% logrando mantener un buen resultado de atención, esta evaluación trimestralmente mide el nivel de satisfaccion de los usuarios. Logrando un resultado de respuesta positivo de PQR´s. Los 8 pendientes son requerimientos especiales por solucionar.</t>
  </si>
  <si>
    <t xml:space="preserve"> De 78 casos recibidos, actualmente se tiene 19 pendientes con un nivel de efectividad del 80% logrando mantener un buen resultado de atención, esta evaluación trimestralmente mide el nivel de satisfacción de los usuarios. Logrando un resultado de respuesta positivo de PQR´s. Los 19 pendientes son requerimientos especiales por solucionar.</t>
  </si>
  <si>
    <t>Crear estrategias por servicio como mecanismo de mitigación ante los reclamos comerciales.</t>
  </si>
  <si>
    <t>(Número de estrategias implementadas/estrategias elaboradas)*100</t>
  </si>
  <si>
    <t>Teniendo en cuenta que aun los usuarios desconocen los cobros que se les realiza en las facturas, en el segundo trimestre se les va a explicar nuevamente de manera presencial en la oficina de la ESPA mediante un cartel y por medio de difución (redes).</t>
  </si>
  <si>
    <t>Teniendo en cuenta la encuesta que realizamos, pudimos constatar que la atención en general es buena y el tiempo de respuesta es satisfactorio para el usuario. Para mejorar a un más se realizará capacitaciones de servicio al cliente para todos los pertenecientes a esta área.</t>
  </si>
  <si>
    <t xml:space="preserve">Revisando los reclamos de los usuarios en general se puede constatar que los PQR´s mas frecuentes son los siguientes; Descuento por predio desocupado 28, cobros inoportunos 24,  inconformidad por produccion fa 24. </t>
  </si>
  <si>
    <t xml:space="preserve">Revisando los reclamos de los usuarios en general se puede constatar que los PQR´s más frecuentes son los siguientes; Descuento por predio desocupado 18, cobros inoportunos 18,  inconformidad por producción fa 27. </t>
  </si>
  <si>
    <t>Identificar el  presupuesto ejecutado  trimestralmente de la entidad para cada vigencia.</t>
  </si>
  <si>
    <t>(Valor del presupuesto ejecutado/valor total presupuesto)*100</t>
  </si>
  <si>
    <t>2. Gestión presupuestal y eficiencia del gasto público</t>
  </si>
  <si>
    <t>Subgerencia administrativa, comercial y financiera</t>
  </si>
  <si>
    <t>Informes trimestrales de la ejecución presupuestal</t>
  </si>
  <si>
    <t>31/12-2023</t>
  </si>
  <si>
    <t>REALIZAR EL SEGUIMIENTO A LA  MATRIZ DEL PLAN ANUAL DE VACANTES</t>
  </si>
  <si>
    <t>SGUIMIENTOS REALIZADOS/4*100</t>
  </si>
  <si>
    <t>3. Talento humano</t>
  </si>
  <si>
    <t>NOMINA-SUBADMIN</t>
  </si>
  <si>
    <t>La planta de personal aprobada consta de 98 cargos, a la fecha se cuenta con 7 vacantes, las cuales son:
AUXILIAR ADMINISTRATIVO -- 1
AUXILIAR OPERATIVO I -- 1
AUXILIAR OPERATIVO II -- 2
RECOLECTOR --3
 que representan el 7,14% de la planta del personal</t>
  </si>
  <si>
    <t>REALIZAR EL SEGUIMIENTO  AL PLAN DE PREVISIÓN DE RECURSO HUMANO</t>
  </si>
  <si>
    <t xml:space="preserve">Todas los cargos vacantes se manejan a traves de CODHE </t>
  </si>
  <si>
    <t xml:space="preserve">Acta CODHE 003_MARZO 30 2023
La subgerencia administrativa, Comercial y Financiera, presenta documento que certifica la vacancia de siete cargos de la Planta de Personal. 
Para el llenado de vacantes, se espera el resultado de la certificación por competencias laborales, para ver cómo queda acueducto y alcantarillado y proceder con aseo, haciendo una sola convocatoria por todos los cargos teniendo en cuenta los resultados de competencias laborales para no incurrir en más gastos. </t>
  </si>
  <si>
    <t>ya se terminó el proceso de certificación, por lo que se espera que para el ultimo trimestre se inicie la tarea de cubrir las vacantes existentes</t>
  </si>
  <si>
    <t>el seguimiento se realiza de manera satisfactoria, sin embargo no se logro cubrir la vacancia en el ultimo trimestre por cambio de administracion</t>
  </si>
  <si>
    <t>REALIZAR EL SEGUMINIETO AL PLAN DE CAPACITACIÓN</t>
  </si>
  <si>
    <t>Rumboterapia
se llevo a cabo el 23 de febrero a las 03:00 pm
Capacitacion en promocion y prevencion de Enfermedades infecto contagiosas
17 de febrero 2023
CERTIFICACIÓN POR COMPETENCIAS SENA
el proceso esta a cargo de los ingenieros quimicos de la subgerencia de acueducto y alcantarillado y del jefe de Planeación de la empresa, durante el primer trimestre se adelanto la gestion ante el sena mediante oficios, los soportes reposan en su poder</t>
  </si>
  <si>
    <t>Funciones y responsabilidades copasst
Investigacion de incidentes y accidentes de trabajo
Manejo de sustancias peligrosas
Estilos de vida saludable
(Rumbotereapia)
Capacitación En Servicios Públicos Domiciliarios
Capacitaciones De Fortalecimiento Del Conocimiento
Certificación Por Competencias Sena
En la Matriz del plan se relaciona con detalle</t>
  </si>
  <si>
    <t xml:space="preserve">Capacitación ley 1010
circular 020 julio 04 de 2023
se realizó el 5 de julio
higiene postural y manejo de estrés personal acueducto y alcantarillado - aseo - administrativo
circular 25 a la 27 del 24 de julio de 2023. 
Se realizó el 26 de julio 2023 
se realizó la capacitación con todos los trabajadores según circular 034 de 2023
se realizó capacitación manejo de extintores circular 033 de 2023, 15 y 18 de agosto 2023
*capacitación a 2 funcionarios en seminarios externos, se anexa relación, de los asistentes y los temas
se llevó a cabo la certificación por competencias laborales a 93 trabajadores 
</t>
  </si>
  <si>
    <t xml:space="preserve">"Elementos de protección personal
Riesgo biológico
Riesgo psicosocial, convivencia laboral
Funciones y responsabilidades de la brigada
Entrenamiento primeros  auxilios
Reentrenamiento trabajo seguro en alturas y espacio confinado
Simulacro sismo
Curso de integridad, transparencia, y lucha contra la corrupción
Curso inducción
Organización en manejo de archivo
Educación financiera
Capacitaciones para servidores públicos
"
</t>
  </si>
  <si>
    <t>REALIZAR EL SEGUIMIENTO AL PLAN DE BIENESTAR E INCENTIVOS</t>
  </si>
  <si>
    <t>Informe de gestión: se le recordo a las áreas la obligación de presentar informe de gestión
Se otorga licencia por luto a los señores Varela y al sr Danilo Riveros
Se realizo publicacion de felicitacion dia de la mujer el 8 de marzo, detalle de flor y chocolate a cada mujer, asi mismo del dia del hombre detalle
el dia 03 de febrero se realizó reconocimiento a los pensionados de la espa en celebracion de los 25 años
Se realizó publicación de condolencias por el fallecimiento del padre y abuelo de los señores Varela, del señor Danilo Riveros
se concede auxilio funerario al sr Varela por fallecimiento de su padre y al señor Danilo Riveros mediante resol 248 y 252
Se han realizado tarjetas de cumpleaños publicadas en el grupo de whatsapp para todos los funcionarios que cumplen años en de enero a marzo 2023
se realizó el reconomiciemto economico de quinquenios a 10 trabajadores
se cuenta con funcionarios con horario flexible dadas, es el caso de la sra Amalia Meneses y Mary Luz Boboya 
a la fecha no se han realizado jornadas de bienestar
se realizó pausa activa con silla masajeadora en el mes de marzo 
al primer trimestre de 2023, se cuenta con 6 practicantes sena
se realizó publicacion de equidad de genero
se realizo la celebracion de los 25 años de la empresa, el dia 03 de febrero de 2022
se realiza tramite de autorizacion para retiro de cesantias y acompañamiento en el proceso
se han venido realizando visitas por parte de seguros Bolivar y Banco de Bogota ofreciendo sus servicios
se han otorgado 7 auxilios educativos a trabajadores y a hijos de los trabajadores
se realizó induccion a los nuevos aprendices sena</t>
  </si>
  <si>
    <t>No se logró consolidar equipo de futbol ni femenino ni masculino, la gente no asistió
No se ha presentado la necesidad de teletrabajo
se realizó la entrega de informe de gestion del primer trimestre 2023
se realizó la tarjeta del dia de la secretaria y del servido publico, se publico en grupo de wtahsapp empresarial y redes sociales de la ESPA ESP
Se realizó publicación de condolencias por el fallecimiento del esposo y tio de 2 trabajadores
se concede auxilio funerario al sra Diana Paola Herrera resolución 347 
Se han realizado tarjetas de cumpleaños publicadas en el grupo de whatsapp para todos los funcionarios que cumplen años en de abril a junio 2023
Para el segundo trimestre no se reconoció quinquenio porque no se cumplió dicha condición
se cuenta con funcionarios con horario flexible dadas, es el caso de la sra Amalia Meneses y Mary Luz Boboya
se concede licencia por luto a la sra Diana Paola Herrera y Jair Parra
1 trabajador se ausentó en el primer trimestre por calamidad domestica, se ha realizado seguimiento trimestral en matriz por parte de sst
Primera jornada de bienestar 5 de mayo, celebracion del dia del hombre y de la mujer, almuerzo y detalle
se realizó jornada de masajes para todos los trabajadores  como pausa activa en el mes de junio por parte de la profesional de SST
Auxilios educativos BLANCA MARINA GARZON
LUZ YAZMIN CARDOSO GUZMAN (hijo)
YONSON JIMENEZ CLAVIJO (hijo)
SIRLEY TAYO PARDO (hija)
EUDREY VARON OBANDO
JOSE SAUL MORALES ROA (hijo)
CARLOS JULIO RICO (hijo)
FERNANDO LOPEZ CORREA (hijo)</t>
  </si>
  <si>
    <t>Para el tercer trimestre se realizó informe de empalme, Se cuenta con el borrador del programa de pre pensionados para socialización y aprobación, Se realizó publicación de condolencias por el fallecimiento del hermano y madre de 3 trabajadores, Se han realizado tarjetas de cumpleaños publicadas en el grupo de WhatsApp para todos los funcionarios que cumplen años en de julio a septiembre 2023, se cuenta con funcionarios con horario flexible dadas, es el caso de la Sra. Amalia Meneses y Mary Luz Boboya, se han realizado ejercicios grupales de pausas activas, a la fecha no se han realizado jornadas de bienestar, se viste prenda naranja para conmemorar la equidad de género, Se concedió auxilio educativo a 12 trabajadores quienes solicitaron este beneficio.</t>
  </si>
  <si>
    <t xml:space="preserve">Se realizó actualizacion de informe de empalme, Se cuenta con el borrador del programa de prepensionados para sociaización y aprobación en la siguiente vigencia, Se realizó publicación de condolencias por el fallecimiento de familiares de los trabajadores, Se han realizado tarjetas de cumpleaños publicadas en el grupo de whatsapp para todos los funcionarios que cumplen años en de octubre a diciembre 2023, se cuenta con funcionarios con horario flexible dadas, es el caso de la sra Amalia Meneses y Mary Luz Boboya, se han realizado ejercicios grupales de pausas activas, 2 jornadas de bienestar, se viste prenda naranja para conmemorar la equidad de genero, Se concedio auxilio educativo a 7 trabajadores quienes solicitaron este beneficio, 
</t>
  </si>
  <si>
    <t> </t>
  </si>
  <si>
    <t xml:space="preserve">Realizar Conciliaciones Bancarias </t>
  </si>
  <si>
    <t>No de conciliaciones realizadas/ 12*100</t>
  </si>
  <si>
    <t>Contabilidad</t>
  </si>
  <si>
    <t>Se realizan conciliaciones mensuales de cuentas de ahorros y corrientes de la Empresa</t>
  </si>
  <si>
    <t>Se realizan conciliaciones mensuales de las 8 cuentas de ahorros y 19 cuentas corrientes de la Empresa.</t>
  </si>
  <si>
    <t xml:space="preserve">Se realiza conciliación bancaria mensual de 27 cuentas discriminadas de la siguiente manera: 
-8 cuentas de ahorros de las cuales 4 cuentas están inactivas y 4 están activas.
-19 cuentas corrientes de las cuales 12 están inactivas y 7 están activas.
Actualmente la empresa cuentas con:
-10 Cuentas en el banco Popular.
-1 Cuenta en el banco BBVA.
-1 Cuenta en el banco Davivienda.
-5 Cuentas en el banco Caja Social.
-10 Cuentas en el banco de Bogotá.
</t>
  </si>
  <si>
    <t>Realizar Relacion de Estampillas (descuentos) mensual</t>
  </si>
  <si>
    <t>No de estamplillas  realizadas/ 12*100</t>
  </si>
  <si>
    <t>Durante el trimestre se realizaron los desccuentos de estampillas a cada pago en los cuales aplican de la siguiente manera:  proturismo $ 73.351.397 prounillanos $ 75.146.490, Prohospitales $ 25.569.443,  cultura $64.831.749, electrificación $ 13.839.904 Adulto mayor $ 97.255.125, obra pública $17.223.464</t>
  </si>
  <si>
    <t>Durante el trimestre se realizaron los desccuentos de estampillas a cada pago en los cuales aplican de la siguiente manera:  proturismo $ 57.997.870, prounillanos $ 25.411.272, Prohospitales $ 51.033.622,  cultura $57.997.870, electrificación $ 11.745.207, Adulto mayor $ 86.996.802, obra pública $50.176.731.</t>
  </si>
  <si>
    <t>Durante el trimestre se realizaron los descuentos de estampillas a cada pago en los cuales aplican de la siguiente manera: Pro-turismo $ 84.965.371, Pro-unillanos $ 29.628.413, Pro hospitales  $ 36.383.062, Pro-cultura $117.354.237, electrificación $ 100.866.657, Adulto mayor $ 127.448.057.</t>
  </si>
  <si>
    <t xml:space="preserve">Durante el trimestre se realizaron los descuentos por concepto de estampilla a cada pago el cual a corte 31 diciembre del 2023 registra el saldo por pagar de la siguiente manera: Pro-Turismo $ 121.107.967, Pro-Unillanos $ 58.776.649, Pro hospitales $ 107.674.389, Pro-Cultura $121.107.967, electrificación $ 27.876.291, Adulto mayor $ 181.661.943, Obra Publica $236.023.225. Para un total a pagar por concepto de Estampilla por valor de $854.228.431. </t>
  </si>
  <si>
    <t>Realizar la relacion de Retencion en la Fuente mensual</t>
  </si>
  <si>
    <t>No de retenciones  realizadas/ 12*100</t>
  </si>
  <si>
    <t>Se realiza el descuento y pago de la retención en la fuente prácticada, pago que se realiza mensual del respectivo porcentaje correspondiente a la actividad del tercero durante el trimestre se descontó : $ 251.826.837</t>
  </si>
  <si>
    <t>Se realiza el descuento y pago de la retención en la fuente prácticada, pago que se realiza mensual del respectivo porcentaje correspondiente a la actividad del tercero durante el trimestre se descontó : $ 189.195.442</t>
  </si>
  <si>
    <t>Se realiza el descuento y pago de la retención en la fuente practicada, pago que se realiza mensual del respectivo porcentaje correspondiente a la actividad del tercero durante el trimestre se descontó : $ 277.926.740</t>
  </si>
  <si>
    <t>Se realiza el descuento y pago de la retención en la fuente practicada por concepto de renta e Iva según corresponda al servicio y/o compra y la tarifa según sea el caso, al corte 31 de diciembre se registra una cuenta por pagar a la dirección de impuestos por valor de $ 240.885.000, la cuenta se encuentra debidamente conciliada.</t>
  </si>
  <si>
    <t>Realizar relación de Retencion de Industria y Comercio Bimestral</t>
  </si>
  <si>
    <t>No de retenciones  realizadas/ 6*100</t>
  </si>
  <si>
    <t>Se realiza el descuento por retención de industria y comercio el cual se realiza pqago bimestral, en el trimestre se aplico reteica por valor de  $ 17.223.464</t>
  </si>
  <si>
    <t>Se realiza el descuento por retención de industria y comercio el cual se realiza pqago bimestral, en el trimestre se aplico reteica por valor de  $ 21.369.882</t>
  </si>
  <si>
    <t xml:space="preserve">  Se realiza el descuento por retención de industria y comercio el cual se realiza pago bimestral, en el trimestre se aplicó rete ica por valor de  $ 29.353.950</t>
  </si>
  <si>
    <t>Se realiza el descuento y pago de la retención en la fuente practicada por concepto de industria y comercio según corresponda al servicio y/o compra y la tarifa según sea el caso, al corte 31 de diciembre se registra una cuenta por pagar al municipio de Acacias por valor de $ 90.120.000, la cuenta se encuentra debidamente conciliada.</t>
  </si>
  <si>
    <t xml:space="preserve">Realizar  Informes Trimestrales a Entes de Control </t>
  </si>
  <si>
    <t>No de informes  realizadas/ 4*100</t>
  </si>
  <si>
    <t>Se realizan los informes trimestrasles a la contaduía general de la nacion:  informe de saldos y movimientos convergencia, operaciones reciprocas convergencia y variaciones trimestrales significativas. Se realizo informe anual vig 2022  de la Contraloría Departamental del Meta</t>
  </si>
  <si>
    <t>Se realizan los informes trimestrasles a la contaduía general de la nacion:  informe de saldos y movimientos convergencia, operaciones reciprocas convergencia y variaciones trimestrales significativas</t>
  </si>
  <si>
    <t xml:space="preserve">Se realizan los informes trimestrales a la contaduría general de la nación: informe de saldos y movimientos convergencia, operaciones reciprocas convergencia y variaciones trimestrales significativas.
</t>
  </si>
  <si>
    <t>El informe se encuentra en estado pendiente de presentación , fecha maxima de presentacion 15 de febrero del 2024.</t>
  </si>
  <si>
    <t>Actualizar y evaluar los objetivos de SST ,</t>
  </si>
  <si>
    <t>No de acciones ejecutadas /2 *100.</t>
  </si>
  <si>
    <t>Transversalidad</t>
  </si>
  <si>
    <t>SG-SST- GERENCIA</t>
  </si>
  <si>
    <t>esta en proceso de actualizacion, se revisaron y se estan planteando cambios.</t>
  </si>
  <si>
    <t xml:space="preserve">se estan generando los cambios a los objetivos </t>
  </si>
  <si>
    <t xml:space="preserve">esta pendiente la aprobacion </t>
  </si>
  <si>
    <t xml:space="preserve">Proyectar la necesidad de  los recursos definidos para el SG-SST </t>
  </si>
  <si>
    <t>valor asiganado / proyectado *100.</t>
  </si>
  <si>
    <t>SG-SST- PRESUPUESTO</t>
  </si>
  <si>
    <t>se proyecto la necesidad para la vigencia del 2023</t>
  </si>
  <si>
    <t>se proyecto el presupuesto para la vigencia 2024</t>
  </si>
  <si>
    <t xml:space="preserve">para la vigencia 2024 el presupuesto
 asignado por financiera no alcanza
 para el cumplimiento de lo requerido 
para seguridad y salud en el trabajo </t>
  </si>
  <si>
    <t xml:space="preserve">Divulgar el Reglamento de Higiene y Seguridad
Industrial a todos los trabajadores </t>
  </si>
  <si>
    <t>No de trabajadores contratados/ trabajadorescapacitados *100</t>
  </si>
  <si>
    <t>SG-SST</t>
  </si>
  <si>
    <t>S e realizo el diagnostico inicial para actualizacion del reglamento ya que su creacion es del 2016 y por normatividad se debe actualizar y divulgar</t>
  </si>
  <si>
    <t xml:space="preserve">se genero la actualizacion , aun falta revisión y aprobacion para luego ser divulgado </t>
  </si>
  <si>
    <t>realizar seguimiento a la matriz del plan de trabajo anual en SST mediante firma del empleador y del responsable del SG-SST</t>
  </si>
  <si>
    <t>Acciones ejecutadas  /Acciones programadas *100.</t>
  </si>
  <si>
    <t xml:space="preserve">se realiza el seguimiento del plan de trabajo anual mensualmente con el cumplimiento de metas estipuladas en dicho plan a inicio de año  </t>
  </si>
  <si>
    <t xml:space="preserve">se ha cumplido con los tiempos segun el plan de trabajo </t>
  </si>
  <si>
    <t xml:space="preserve">se ha ejecutado el plan de trabajo estipulado para la vigencia </t>
  </si>
  <si>
    <t xml:space="preserve">Inspeccionar programa de mantenimiento
preventivo  a  máquinas, herramientas, equipos, - instalaciones , vehiculos y redes eléctricas </t>
  </si>
  <si>
    <t>N de inspecciones /Acciones programadas *100.</t>
  </si>
  <si>
    <t>se han realizado inspecciones
 a lo largo del trimestre en algunas areas.</t>
  </si>
  <si>
    <t xml:space="preserve">se realizan las inspecciones
 segun la planeacion </t>
  </si>
  <si>
    <t>se requiere del acompañamiento por 
parte del COPASST para cumplir con las 
inspecciones, ya que en este momento solo
 esta una persona como responsable del sistema, sin apoyo para un total de 139 trabajadores 
en diferentes puestos de  trabajo y horarios o contratatar un apoyo a la gestion</t>
  </si>
  <si>
    <t>Exigir  permisos  de trabajo  para el desarrollo de tareas críticas y garantizar su - correcto procedimiento.</t>
  </si>
  <si>
    <t>No de permisos exigidos / permisos expedidos *100.</t>
  </si>
  <si>
    <t>se han realizado tareas de alto
 riesgo sin permisos de trabajo y sin conocimiento dias anteriores para su planeacion y seguido permiso.</t>
  </si>
  <si>
    <t>se cuenta con el curso vigente más no 
se cumple con la normatividad y con los 
 implementos para realizar las activivades de manera segura.</t>
  </si>
  <si>
    <t>Elaborar un plan estrategico de seguridad vial</t>
  </si>
  <si>
    <t>necesidad del plan/plan elaborado/*100</t>
  </si>
  <si>
    <t xml:space="preserve">se hizo el diagnostico el año 
anterior con comite pero no se ha realizado el planteamiento del documento y su implementacion segun lo exige la norma </t>
  </si>
  <si>
    <t>Elaborar y mantener actualizado un registro
estadístico de la morbilidad de origen común y laboral.</t>
  </si>
  <si>
    <t>No de trabajadores con restricciones/ total de trabajadores * 100</t>
  </si>
  <si>
    <t>se ha actualizado diariamente 
la morbildad a travez de la matriz de ausentismos de la entidad y casos concretos con personal que presentga restricciones medico laborales.</t>
  </si>
  <si>
    <t>se ha actualizado diariamente 
la morbildad atravez de la matriz de ausentismos de la entidad y casos concretos con personal que presentga restricciones medico laborales.</t>
  </si>
  <si>
    <t>Implementar un programa de retorno laboral que
incorpore directrices para la reubicación y readaptación de trabajadores.</t>
  </si>
  <si>
    <t>No trabajadores con restriccion/ trabajador con reasignacion de funsiones*100</t>
  </si>
  <si>
    <t>SG-SST- DIRECTIVOS</t>
  </si>
  <si>
    <t>se realizo el protocolo de restricciones 
y recomendaciones medicas, falta socializar e implementar</t>
  </si>
  <si>
    <t>se esta haciendo seguimiento
 a las restricciones medico laborales</t>
  </si>
  <si>
    <t>se lleva a cabo el protocolo de restricciones
 y recomendaciones medico laborales con seguimiento
 al trabajador, falta en ocasiones comunicacion 
entre el jefe inmediato y salud ocupacional para
 cumplir con lo asignado por el medico laboral</t>
  </si>
  <si>
    <t xml:space="preserve">es importante realizar de acuerdo al protocolo 
, para generar al empleado una rehabilitacion 
sin ver afectada la productividad y que 
se aporte a su salud mental y fisica </t>
  </si>
  <si>
    <t xml:space="preserve">Elaborar  y mantener  actualizado un registro
estadístico incidentes y accidentes de trabajo </t>
  </si>
  <si>
    <t>N de accidentes e incidentes presentados / reporte 12  * 100</t>
  </si>
  <si>
    <t>se maneja estadistica 
mensual de incidentes y accidentes en la empresa</t>
  </si>
  <si>
    <t>se maneja estadistica mensual de incidentes y accidentes en la empresa</t>
  </si>
  <si>
    <t>Definir y aplicar mecanismos de seguimiento a la ejecución y eficacia de las acciones preventivas y correctivas tomadas con respecto a los incidentes
y accidentes de trabajo de los contratistas,    subcontratista, trabajadores cooperados y en misión.</t>
  </si>
  <si>
    <t>Acciones programadas /Acciones ejecutadas *100.</t>
  </si>
  <si>
    <t>se realiza la investigacion de los incidentes y accidentes con el fin de realizar las mejoras y mitigar la accidentalidad , por medio de mecanismos de prevencion y correctivas que arroja la inventigacion</t>
  </si>
  <si>
    <t>es importante el acompañamiento a
 la investigacion de accidentes por parte del COPASST</t>
  </si>
  <si>
    <t>Establecer requisitos de SST específicos para la contratación de proveedores/terceros que en la prestación de sus servicios ejecuten tareas críticas
(trabajo   en   alturas,   trabajo   en   espacios - confinados, etc.).</t>
  </si>
  <si>
    <t>14. Gestión del conocimiento y la innovación</t>
  </si>
  <si>
    <t>SG-SST- CONTRATACION</t>
  </si>
  <si>
    <t>se esta realizando un diagostico de los requisitos que se deben tener encuenta segun la normatividad vigente , se ha realizado el apoyo en contrtacion indispensable para la operacion.</t>
  </si>
  <si>
    <t>Incluir en el plan de prevención, preparación y
respuesta ante emergencias, simulacros anuales - (como mínimo) y capacitación a los trabajadores.</t>
  </si>
  <si>
    <t>esta programado para el siguiente periodo</t>
  </si>
  <si>
    <t xml:space="preserve">se realizo simulacro y
 se lleva actualizando el progragrama de prevencion y promocion </t>
  </si>
  <si>
    <t xml:space="preserve">
Divulgar los resultados de las investigaciones de
ATEL a los trabajadores expuestos a los peligros  relacionados con los eventos.</t>
  </si>
  <si>
    <t>Acciones ejecutadas /Acciones programadas 12 *100.</t>
  </si>
  <si>
    <t>SG-SST -COPASST</t>
  </si>
  <si>
    <t>se esta trabajando en
 la investigacion de accidentes y la mitigacion en el lugar donde ocurrieron los hechos, aun no se ha generado la divulgacion de lo arrojado en la investigacion</t>
  </si>
  <si>
    <t xml:space="preserve">
 se ha reunido el COPASST para la investigacion y seguimiento de casos</t>
  </si>
  <si>
    <t>EFECTUAR PAGOS EN GENERAL DE MANERA TRIMESTRAL</t>
  </si>
  <si>
    <t>PAGOS REALIZADOS /ORDENES DE PAGO *100</t>
  </si>
  <si>
    <t>TESORERA</t>
  </si>
  <si>
    <t>egresos del 001 al 254</t>
  </si>
  <si>
    <t>egresos del 255 al 564</t>
  </si>
  <si>
    <t>egresos del  565 al 879</t>
  </si>
  <si>
    <t xml:space="preserve">Egresos del 880 al 1250 </t>
  </si>
  <si>
    <t>RELIZAR INTERFACES DIARIAS DE RECAUDO</t>
  </si>
  <si>
    <t>30 MENSUALES, S/DIAS FESTIVOS Y DIAS DE  CIERRE CICLO</t>
  </si>
  <si>
    <t>90 interfaz de enero a marzo/23</t>
  </si>
  <si>
    <t>91 interfaz de abril a junio/23</t>
  </si>
  <si>
    <t>interfaz de julio a septiembre/23</t>
  </si>
  <si>
    <t>Interfaz desde octubre a 31-12-2023</t>
  </si>
  <si>
    <t>REALIZAR INFORME DE MOVIMIENOS DE BANCOS  SEMANAL A GERENCIA</t>
  </si>
  <si>
    <t>INFORMES PRESENTADOS/52*100</t>
  </si>
  <si>
    <t>13 iformes semanales</t>
  </si>
  <si>
    <t>13 informes semanales</t>
  </si>
  <si>
    <t>REALIZAR INFORME A ENTES DE CONTROL</t>
  </si>
  <si>
    <t>INFORME REALIZADO /1* 100</t>
  </si>
  <si>
    <t>1 informe anual</t>
  </si>
  <si>
    <t>Se presentó el informe anual</t>
  </si>
  <si>
    <t>Implementar estrategias de difusion de la linea de denuncia y atencion al ciudadano ESPA</t>
  </si>
  <si>
    <t>Numero de actividades realizadas /Numero de actividades programadas</t>
  </si>
  <si>
    <t>Profesional de Servicio al cliente y sistemas</t>
  </si>
  <si>
    <t>Se cuenta con la línea (608) 6469723 para recibir denuncias y PQRS. Avance 100%</t>
  </si>
  <si>
    <t>31-12-2022</t>
  </si>
  <si>
    <t xml:space="preserve"> realizar  publicaciones inherentes del cotinuo mejoramiento del servicio de tal manera que permita integrar a los usuarios y a su vez mejorar la percepción de la ESPA</t>
  </si>
  <si>
    <t>(Número de publicaciones / Total de publicaciones programadas)*100</t>
  </si>
  <si>
    <t>Gerencia-Subgerencias-Sistemas, Profesional de Servicio al Cliente.</t>
  </si>
  <si>
    <t xml:space="preserve">Se realizaron 52 publicaciones en la página Web y en las redes sociales de las actividades que realiza la empresa para el mejoramiento del servicio.;
Conceptos:
Acuerdos de Pago
Prestación de servicios especiales.
Transparencia y Acceso a la Información Pública
Canales Digitales
Servicio de corte de césped
Jornadas de limpieza
Modificación horarios de atención al usuario
Pago de sus servicios a través de botón PSE
Modificación la ruta de recolección de residuos
Jornadas de siembra de arboles
Poda de arboles
Campañas de reciclaje
Afectación y solución en la prestación del servicio de acueducto
Publicaciones por áreas:
Administrativos: 29
Aseo: 13
Acueducto: 10
</t>
  </si>
  <si>
    <t xml:space="preserve">Se realizaron 71 publicaciones en la página Web y en las redes sociales de las actividades que realiza la empresa para el mejoramiento del servicio.;
Conceptos:
Acuerdos de Pago
Prestación de servicios especiales.
Transparencia y Acceso a la Información Pública
Canales Digitales
Servicio de corte de césped
Jornadas de limpieza
Modificación horarios de atención al usuario
Pago de sus servicios a través de botón PSE
Modificación la ruta de recolección de residuos
Jornadas de siembra de arboles
Poda de arboles
Campañas de reciclaje
Afectación y solución en la prestación del servicio de acueducto
Publicaciones por áreas:
Administrativos: 25
Aseo: 32
Acueducto: 14
</t>
  </si>
  <si>
    <t xml:space="preserve">Se realizaron 95 publicaciones en la página Web y en las redes sociales de las actividades que realiza la empresa para el mejoramiento del servicio.;
Conceptos:
Acuerdos de Pago
Prestación de servicios especiales.
Transparencia y Acceso a la Información Pública
Canales Digitales
Servicio de corte de césped
Jornadas de limpieza
Modificación horarios de atención al usuario
Pago de sus servicios a través de botón PSE
Modificación la ruta de recolección de residuos
Jornadas de siembra de arboles
Poda de arboles
Campañas de reciclaje
Afectación y solución en la prestación del servicio de acueducto
Publicaciones por áreas:
Administrativos: 33
Aseo: 44
Acueducto: 18
</t>
  </si>
  <si>
    <t xml:space="preserve">Se realizaron 119 publicaciones en la página Web y en las redes sociales de las actividades que realiza la empresa para el mejoramiento del servicio.;
Conceptos:
Acuerdos de Pago
Prestación de servicios especiales.
Transparencia y Acceso a la Información Pública
Canales Digitales
Servicio de corte de césped
Jornadas de limpieza
Modificación horarios de atención al usuario
Pago de sus servicios a través de botón PSE
Modificación la ruta de recolección de residuos
Jornadas de siembra de arboles
Poda de arboles
Campañas de reciclaje
Afectación y solución en la prestación del servicio de acueducto
Publicaciones por áreas:
Administrativos: 38
Aseo: 56
Acueducto: 25
</t>
  </si>
  <si>
    <t>Implementar los lineamientos de la Ley 1712 (Ley de Transparencia y derecho de acceso a la información pública).</t>
  </si>
  <si>
    <t>lineamietos/ lineamientos implementados</t>
  </si>
  <si>
    <t>Profesional de Planeación y Proyectos , sistemas</t>
  </si>
  <si>
    <t>Se está elaborando el documento de acuerdo a la matriz de Índice de transparencia y acceso a la información pública contemplada en la ley 1712 de 2014. Avance 25 %</t>
  </si>
  <si>
    <t xml:space="preserve">Actualización, implementación y seguimiento del PETI </t>
  </si>
  <si>
    <t>Documento y reportes de seguimiento elaborados</t>
  </si>
  <si>
    <t>10. Gobierno digital</t>
  </si>
  <si>
    <t xml:space="preserve">Profesional de Sistemas </t>
  </si>
  <si>
    <t>Se elaboró y se aprobó el Plan Estratégico de Tecnologías de la Información. Avance 25%</t>
  </si>
  <si>
    <t xml:space="preserve">Actualizacion, implementacion y seguimiento del  Plan de Tratamiento de Riesgos de Seguridad y Privacidad de la Información </t>
  </si>
  <si>
    <t>11. Seguridad digital</t>
  </si>
  <si>
    <t>Subgerencia Administrativa, Comercial y Financiera.</t>
  </si>
  <si>
    <t>Se elaboró y aprobó el Plan de Tratamiento de Riesgos de Seguridad y Privacidad de la Información. Avance 25 %</t>
  </si>
  <si>
    <t>Actualizacion, implementacion y seguimiento del Plan de Seguridad y Privacidad de la Información</t>
  </si>
  <si>
    <t>(Número de copias realizadas / Total de copias programadas)*100</t>
  </si>
  <si>
    <t>Profesional de Sistemas y Planeacion y proyectos .</t>
  </si>
  <si>
    <t>Se elaboró y aprobó el Plan de Seguridad y Privacidad de la Información Avance 25%</t>
  </si>
  <si>
    <t>ELABORACION Y PUBLICACION  DEL PLAN ANUAL DE ADQUISICIONES</t>
  </si>
  <si>
    <t>NUMERO DE ACCIONES DESARROLLADOS/PROGRAMADAS*100</t>
  </si>
  <si>
    <t>ALMACENISTA</t>
  </si>
  <si>
    <t xml:space="preserve">SE ELABORO Y PUBLICO EL PLANA NUAL DE ADQUICISIONES VIGENCIA 2024 DEACUERDO AL DERETO 1082 DE 2015. </t>
  </si>
  <si>
    <t>31-01-2024</t>
  </si>
  <si>
    <t>MODIFICACION Y ACTUALIZACION DEL PLAN ANUAL DE ADQUISICIONES</t>
  </si>
  <si>
    <t>NUMERO DE ACTUALIZACIONES Y MODIFICACIONES</t>
  </si>
  <si>
    <t>El 01/02/2024, se realizo la entrega de la responsabilidad de la actualizacion del plan anual de adquisiciones al area de oficina juridica y contratacion</t>
  </si>
  <si>
    <t>31-12-2023</t>
  </si>
  <si>
    <t>REPORTE MESUAL DE MOVIMIENTOS A CONTABILIDAD</t>
  </si>
  <si>
    <t>NUMERO DE INFORMES ELABORADOS/NUMERO DE INFORMES ENTREGADOS*100</t>
  </si>
  <si>
    <t>SE HAN ENVIADO LOS INFORMES MENSUALES A CONTABILIDAD</t>
  </si>
  <si>
    <t>Total Presupuesto Ejecutado</t>
  </si>
  <si>
    <t>Auditoría y control a los archivos de gestión de las dependencias.</t>
  </si>
  <si>
    <t>Auditorías  realizadas/ Auditorías proyectadas*100</t>
  </si>
  <si>
    <t>15. Gestión documental</t>
  </si>
  <si>
    <t xml:space="preserve">Tecnica de Archivo </t>
  </si>
  <si>
    <t xml:space="preserve">La oficina de control interno recomienda la realizacion de una hoja de chequeo, para que el personal ingresado tenga los documentos al dia.  </t>
  </si>
  <si>
    <t>Se ejecuto la lista de chequeo en las hojas de vida, para obtener mejor manejo y control documental.</t>
  </si>
  <si>
    <t xml:space="preserve">Se realizo en la oficina de tesoreria la revision de las hojas de control hasta el año 2022. </t>
  </si>
  <si>
    <t>Se realizó la asesoria a cada una de las areas., para tener al dia el inventario de Gestion y seguido así la entrega de cargo para el empalme, solo queda pendiente la area de control interno por inventario de gestion.</t>
  </si>
  <si>
    <t>31/112/2023</t>
  </si>
  <si>
    <t>Realizar seguimieno de la organizacion en la historias laborales para dar respectivo cumplimiento con el indicador.</t>
  </si>
  <si>
    <t>Actualización de las tablas de retención documental</t>
  </si>
  <si>
    <t>Convalidación de las tablas de retención documental por el Archivo Departamental.(Certificado).</t>
  </si>
  <si>
    <t xml:space="preserve">La actualización de las Tablas de Retención Documental — TRD se
efectuará por parte de la instancia competente (AGN) cuando haya sido motivada únicamente por las
siguientes situaciones:en nuestra entidad aplica la generación de nuevas series y subseries documentales. </t>
  </si>
  <si>
    <t xml:space="preserve">La actualización de las Tablas de Retención Documental — TRD, se estan modificando en cada una de las areas para su debida acutailzación. </t>
  </si>
  <si>
    <t>Se realizo la encuesta en cada una de las areas, verificando que series nuevas salieron y actualizando las normas.</t>
  </si>
  <si>
    <t xml:space="preserve">En noviembre se realizao una mesa de trabajo, con el consejo departamental de archivo donde nos dictan unas nuevas normas para la realizacion y actualizacion de las TRD. </t>
  </si>
  <si>
    <t xml:space="preserve">Se ha realizado la encuenta a 4 dependencias, revisando cada una de als series documentlaes y las nuevas que se allan realizado. </t>
  </si>
  <si>
    <t>Levantamiento de inventario del Archivo Central</t>
  </si>
  <si>
    <t>Aumentar en un 10% el levantamiento del Archivo Central</t>
  </si>
  <si>
    <t xml:space="preserve">Se esta ejecutando </t>
  </si>
  <si>
    <t xml:space="preserve">se adelanto invenatario en archivo central , actualmente vamos en la oficina de Tesoreia. </t>
  </si>
  <si>
    <t xml:space="preserve">Estamos en el inevntario del archivo central con la oficina de teesoreria en la seccion de recaudos. Se recibio tranferencia de la oficina de juridica y contratacion y laboratorio. </t>
  </si>
  <si>
    <t>Se realizo lel inventario del archivo central con el area de contabilidad con un total de 468 legajos. quedando pendiente 5 dependencias.</t>
  </si>
  <si>
    <t xml:space="preserve">Se esta realizando aun el levantamiento de inventario del archivo central, se encuentra en ejecucion. </t>
  </si>
  <si>
    <r>
      <rPr>
        <b/>
        <sz val="10"/>
        <color rgb="FF000000"/>
        <rFont val="Arial"/>
      </rPr>
      <t xml:space="preserve">Elaboración y Socialización </t>
    </r>
    <r>
      <rPr>
        <sz val="10"/>
        <color rgb="FF000000"/>
        <rFont val="Arial"/>
      </rPr>
      <t>del proyecto de modernización del archivo bajo el Sistema de Gestión de Documentos Electrónicos de Archivo-SGDEA</t>
    </r>
  </si>
  <si>
    <t>Acciones ejecutadas/Acciones programadas*100</t>
  </si>
  <si>
    <t>Técnica de Archivo</t>
  </si>
  <si>
    <t xml:space="preserve">Falta de presupuesto para la ejecución </t>
  </si>
  <si>
    <t>Se socializo con el ingeniero de sistemas y  un profesional experto en servideros y junto con ellos quedamos en la espera de una cotizacion.</t>
  </si>
  <si>
    <t xml:space="preserve">Falta de presupuesto </t>
  </si>
  <si>
    <t xml:space="preserve">En la espera de un comite para debatir y dar solucion a este item. </t>
  </si>
  <si>
    <t>Ejecutar el cronograma de trabajo de la oficina de control interno</t>
  </si>
  <si>
    <t>(# DE ACTIVIDADES PROGRAMADAS / # DE ACTIVIDADES EJECUTADAS)</t>
  </si>
  <si>
    <t>18. Control interno</t>
  </si>
  <si>
    <t>Jefe de Control Interno</t>
  </si>
  <si>
    <t>Para el primer trimestre del año la oficina de control interno tenia programdas 15 actividades las cuales las cumpliio al 100%</t>
  </si>
  <si>
    <t>Para el segundo trimestre del año la oficina de control interno tenia programadas 13 actividades de las cuales cumplio al 100%</t>
  </si>
  <si>
    <t>Para el segundo trimestre del año la oficina de control interno tenia programadas 15 actividades de las cuales cumplio al 100%</t>
  </si>
  <si>
    <t>Para el segundo trimestre del año la oficina de control interno tenia programadas 7 actividades de las cuales cumplio al 100% adicional realizo acompañemiento al proceso de empalme</t>
  </si>
  <si>
    <t>Realizar auditorias Programadas en el plan de trabajo de la oficina de control interno</t>
  </si>
  <si>
    <t>(# DE AUDITORIAS PROGRAMADAS/ # DE AUDITORIAS EJECUTADAS)</t>
  </si>
  <si>
    <t>la Oficina de control interno tenia dos auditorias y evaluaciones programadas las cuales fueron cumplidas al 100%</t>
  </si>
  <si>
    <t>La oficina de control interno tenia programada una auditoria y evaluaciones programadas las cuales fueron cumplidas al 100%</t>
  </si>
  <si>
    <t>147-Vehículos y equipos para la prestación del servicio de aseo adquiridos</t>
  </si>
  <si>
    <t>150-Servicios para el aprovechamiento y fortalecimiento de la Planta de Tratamiento de Residuos Sólidos</t>
  </si>
  <si>
    <t>153-Plantas de tratamiento de aguas residuales optimizadas</t>
  </si>
  <si>
    <t>154-Planta de tratamiento de aguas residuales realizados</t>
  </si>
  <si>
    <t>7. Suministrar el servicio de alcantarillado con altos estándares de prestación.</t>
  </si>
  <si>
    <t>157-PSMV del centro poblado de Quebraditas (Meta Gestión)</t>
  </si>
  <si>
    <t>9. Racionalización de trámites</t>
  </si>
  <si>
    <t>160-Servicio de acompañamiento técnico a los Acueductos Veredales para el mejoramiento de la prestación del servicio.</t>
  </si>
  <si>
    <t>13. Mejora normativa</t>
  </si>
  <si>
    <t>16. Gestión de la información estadística</t>
  </si>
  <si>
    <t>AREAS</t>
  </si>
  <si>
    <t>1º SEMESTRE</t>
  </si>
  <si>
    <t>2º TRIMESTRE</t>
  </si>
  <si>
    <t>3º TRIMESTRE</t>
  </si>
  <si>
    <t>4º TRIMESTRE</t>
  </si>
  <si>
    <t>ACUMULADO</t>
  </si>
  <si>
    <t>4° TRIMESTRE</t>
  </si>
  <si>
    <t>SUBG ACUEDUCTO Y ALCANTARILLADO</t>
  </si>
  <si>
    <t>PLANEACIÓN</t>
  </si>
  <si>
    <t>SUBG ASEO</t>
  </si>
  <si>
    <t>FACTURACIÓN</t>
  </si>
  <si>
    <t>JURÍDICA Y CONTRATACIÓN</t>
  </si>
  <si>
    <t>COMERCIAL</t>
  </si>
  <si>
    <t>SERVICIO AL CLIENTE</t>
  </si>
  <si>
    <t>PRESUPUESTO</t>
  </si>
  <si>
    <t>NÓMINA</t>
  </si>
  <si>
    <t>CONTABILIDAD</t>
  </si>
  <si>
    <t>TESORERÍA</t>
  </si>
  <si>
    <t>SISTEMAS</t>
  </si>
  <si>
    <t>ALMACÉN</t>
  </si>
  <si>
    <t>ARCHIVO Y CORRESPONDENCIA</t>
  </si>
  <si>
    <t>CONTROL INTERNO</t>
  </si>
  <si>
    <t>PROMEDIO</t>
  </si>
  <si>
    <t>PROMEDIO ACUMULADO</t>
  </si>
  <si>
    <t>CUMPLIMIENTO ESTRATEGIAS PGE</t>
  </si>
  <si>
    <t>ESTRATEGIA</t>
  </si>
  <si>
    <t>AREAS QUE CONTRIBUYERON</t>
  </si>
  <si>
    <t>TOTAL DE ACCIONES</t>
  </si>
  <si>
    <t>% DE CUMPLIMIENTO 1º SEMESTRE</t>
  </si>
  <si>
    <t>% DE CUMPLIMIENTO
 1º SEMESTRE</t>
  </si>
  <si>
    <t>% DE CUMPLIMIENTO 2º SEMESTRE</t>
  </si>
  <si>
    <t>% DE CUMPLIMIENTO PGE 2º SEMESTRE</t>
  </si>
  <si>
    <t xml:space="preserve">PROMEDIO CUMPLIMIENTO </t>
  </si>
  <si>
    <t xml:space="preserve">Subgerencia de Aseo: 1 
Comercial: 1      
Servicio al Cliente: 3            Sistemas: 2
</t>
  </si>
  <si>
    <t>Planeación: 2  
Sistemas: 1
Control Interno: 1</t>
  </si>
  <si>
    <t>Subgerencia de Aseo: 1      
Comercial: 4        
SG-SST: 1</t>
  </si>
  <si>
    <t>Planeación: 2                    Facturación: 1             
Comercial: 1 
Jurídica y Contratación: 2   
Servicio al Cliente: 1       Presupuesto: 1
Nómina: 2                                    SG-SST: 1                     
Tesorería: 4                             Almacén: 3                           Archivo y Correspondencia: 4
Contabilidad: 5
Control Interno: 1</t>
  </si>
  <si>
    <t>Planeación: 2                    Facturación: 1             
Comercial: 1 
Jurídica y Contratación: 2   
Servicio al Cliente: 1       Presupuesto: 1
Nómina: 2                                    SG-SST: 1                     
Tesorería: 4                             Almacén: 3                                Archivo y Correspondencia: 4
Contabilidad: 5
Control Interno: 1</t>
  </si>
  <si>
    <t>Subgerencia Acueducto y Alcantarillado: 2
Subgerencia de Aseo: 3       Facturación: 1        
SG-SST: 1</t>
  </si>
  <si>
    <t>Gerencia: 1    
Subgerencia de Acueducto y Alcantarillado: 7</t>
  </si>
  <si>
    <t>6. SuminIstrar el servicio de acueducto con altos estándares de prestación.</t>
  </si>
  <si>
    <t xml:space="preserve">Subgerencia de Aseo: 1    </t>
  </si>
  <si>
    <t>Servicio al cliente: 1   
Nómina:1       
SG-SST: 2</t>
  </si>
  <si>
    <t>Planeación : 1   
Nómina: 1       
SG-SST: 9</t>
  </si>
  <si>
    <t>Jurídica y contratación: 4
Sistemas: 3</t>
  </si>
  <si>
    <t>CUMPLIMIENTO ESTRATEGIAS OBJETIVOS DE DESARROLLO SOSTENIBLE</t>
  </si>
  <si>
    <t>% PARTICIPACIÓN DE LOS ODS</t>
  </si>
  <si>
    <t>5. IGUALDAD DE GÉNERO</t>
  </si>
  <si>
    <t>Planeación, Servicio al Cliente, SG-SST.</t>
  </si>
  <si>
    <t>6. AGUA LIMPIA Y SANEAMIENTO BÁSICO</t>
  </si>
  <si>
    <t>Gerencia, Planeación, Subgerencia de Acueducto y Alcantarillado, Subgerencia de Aseo, Servicio al Cliente, Presupuesto, Tesorería, Almacén.</t>
  </si>
  <si>
    <t>11. CIUDADES Y COMUNIDADES SOSTENIBLES</t>
  </si>
  <si>
    <t>Subgerencia de Aseo, Facturación, Comercial, Jurídica y Contratación, Servicio al Cliente, Nómina, Contabilidad, SG-SST, Sistemas, Archivo y Correspondencia, Control Interno.</t>
  </si>
  <si>
    <t>TOTAL</t>
  </si>
  <si>
    <t>CUMPLIMIENTO POLÍTICAS MIPG</t>
  </si>
  <si>
    <t>POLÍTICA  MIPG</t>
  </si>
  <si>
    <t>% PARTICIPACIÓN DE MIPG</t>
  </si>
  <si>
    <t>Gerencia, Planeación, SG-SST.</t>
  </si>
  <si>
    <t>Presupuesto, Contabilidad, SG-SST, Tesorería, Almacén.</t>
  </si>
  <si>
    <t>Nómina, SG-SST</t>
  </si>
  <si>
    <t>Planeación</t>
  </si>
  <si>
    <t>Planeación, Comercial, Jurídica y Contratación, Sistemas.</t>
  </si>
  <si>
    <t>Planeación, Subgerencia de Acueducto y Alcantarillado, Subgerencia de Aseo, Facturación, Comercial, Servicio al Cliente, SG-SST.</t>
  </si>
  <si>
    <t>Subgerencia de Aseo, Comercial, Servicio al Cliente.</t>
  </si>
  <si>
    <t>Subgerencia de Acueducto y Alcantarillado, Subgerencia de Aseo.</t>
  </si>
  <si>
    <t>Sistemas</t>
  </si>
  <si>
    <t>Jurídica y Contratación</t>
  </si>
  <si>
    <t>Archivo y Correspondencia</t>
  </si>
  <si>
    <t>Subgerencia de Acueducto y Alcantarillado,comercial y Control Interno.</t>
  </si>
  <si>
    <t>Control Interno</t>
  </si>
  <si>
    <t>TOTAL ACCIONES</t>
  </si>
  <si>
    <t>CUMPLIMIENTO</t>
  </si>
  <si>
    <t>POLÍTICAS</t>
  </si>
  <si>
    <t>ACTIVIDADES</t>
  </si>
  <si>
    <t>1.PLANEACIÓN INSTITUCIONAL</t>
  </si>
  <si>
    <t>Gestionar recursos para la ejecución de proyectos de invesión de alto impacto, que determinen gran beneficio para las actividades operacionales de la empresa, en pro de la prestación de un servicio contínuo y eficiente.</t>
  </si>
  <si>
    <t>Realizar 06 de reuniones de Comité Institucional de Gestión y Desempeño</t>
  </si>
  <si>
    <t>Divulgar los resultados de las investigaciones de
ATEL a los trabajadores expuestos a los peligros  relacionados con los eventos.</t>
  </si>
  <si>
    <t>2. GESTIÓN PRESUPUESTAL Y EFICIENCIA DEL GASTO PÚBLICO</t>
  </si>
  <si>
    <t>Realizar Conciliaciones Bancarias</t>
  </si>
  <si>
    <t>Realizar Informes Trimestrales a Entes de Control</t>
  </si>
  <si>
    <t>Proyectar la necesidad de  los recursos definidos para el SG-SST</t>
  </si>
  <si>
    <t>3. TALENTO HUMANO</t>
  </si>
  <si>
    <t>4. INTEGRIDAD</t>
  </si>
  <si>
    <r>
      <t xml:space="preserve">Realizar </t>
    </r>
    <r>
      <rPr>
        <b/>
        <sz val="8"/>
        <color rgb="FF000000"/>
        <rFont val="Franklin Gothic Book"/>
        <charset val="1"/>
      </rPr>
      <t xml:space="preserve">4 actividades </t>
    </r>
    <r>
      <rPr>
        <sz val="8"/>
        <color rgb="FF000000"/>
        <rFont val="Franklin Gothic Book"/>
        <charset val="1"/>
      </rPr>
      <t>de fortalecimiento de los valores institucionales (Plan de Integridad) e igualdad de género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</si>
</sst>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_-"/>
    <numFmt numFmtId="165" formatCode="dd\-mm\-yyyy"/>
    <numFmt numFmtId="166" formatCode="0.0%"/>
    <numFmt numFmtId="167" formatCode="0.0"/>
    <numFmt numFmtId="168" formatCode="_([$$-409]* #,##0.00_);_([$$-409]* \(#,##0.00\);_([$$-409]* &quot;-&quot;??_);_(@_)"/>
  </numFmts>
  <fonts count="60">
    <font>
      <sz val="11"/>
      <color theme="1"/>
      <name val="Calibri"/>
      <family val="2"/>
      <scheme val="minor"/>
    </font>
    <font>
      <sz val="11"/>
      <color theme="1"/>
      <name val="Calibri"/>
      <family val="2"/>
      <scheme val="minor"/>
    </font>
    <font>
      <sz val="1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sz val="11"/>
      <color rgb="FF333333"/>
      <name val="Arial"/>
      <family val="2"/>
    </font>
    <font>
      <b/>
      <sz val="9"/>
      <name val="Franklin Gothic Book"/>
      <family val="2"/>
    </font>
    <font>
      <sz val="9"/>
      <color theme="1"/>
      <name val="Franklin Gothic Book"/>
      <family val="2"/>
    </font>
    <font>
      <sz val="8"/>
      <color theme="1"/>
      <name val="Franklin Gothic Book"/>
      <family val="2"/>
    </font>
    <font>
      <sz val="8"/>
      <name val="Franklin Gothic Book"/>
      <family val="2"/>
    </font>
    <font>
      <b/>
      <sz val="8"/>
      <name val="Franklin Gothic Book"/>
      <family val="2"/>
    </font>
    <font>
      <sz val="7"/>
      <name val="Franklin Gothic Book"/>
      <family val="2"/>
    </font>
    <font>
      <sz val="7"/>
      <color theme="1"/>
      <name val="Franklin Gothic Book"/>
      <family val="2"/>
    </font>
    <font>
      <b/>
      <sz val="8"/>
      <color theme="0"/>
      <name val="Franklin Gothic Book"/>
      <family val="2"/>
    </font>
    <font>
      <sz val="8"/>
      <color theme="0"/>
      <name val="Franklin Gothic Book"/>
      <family val="2"/>
    </font>
    <font>
      <sz val="8"/>
      <color rgb="FF000000"/>
      <name val="Franklin Gothic Book"/>
      <family val="2"/>
    </font>
    <font>
      <sz val="7"/>
      <color rgb="FF333333"/>
      <name val="Franklin Gothic Book"/>
      <family val="2"/>
    </font>
    <font>
      <b/>
      <sz val="8"/>
      <color theme="1"/>
      <name val="Franklin Gothic Book"/>
      <family val="2"/>
    </font>
    <font>
      <b/>
      <sz val="7"/>
      <color theme="1"/>
      <name val="Franklin Gothic Book"/>
      <family val="2"/>
    </font>
    <font>
      <sz val="10"/>
      <color rgb="FF000000"/>
      <name val="Arial"/>
      <family val="2"/>
    </font>
    <font>
      <sz val="12"/>
      <color rgb="FF000000"/>
      <name val="Franklin Gothic Book"/>
      <family val="2"/>
    </font>
    <font>
      <b/>
      <sz val="8"/>
      <color rgb="FF000000"/>
      <name val="Franklin Gothic Book"/>
    </font>
    <font>
      <sz val="8"/>
      <color rgb="FF000000"/>
      <name val="Franklin Gothic Book"/>
    </font>
    <font>
      <sz val="8"/>
      <name val="Franklin Gothic Book"/>
    </font>
    <font>
      <sz val="12"/>
      <color rgb="FF000000"/>
      <name val="Arial Narrow"/>
      <family val="2"/>
    </font>
    <font>
      <sz val="7"/>
      <name val="Franklin Gothic Book"/>
    </font>
    <font>
      <sz val="10"/>
      <color rgb="FF000000"/>
      <name val="Franklin Gothic Book"/>
      <family val="2"/>
    </font>
    <font>
      <b/>
      <sz val="10"/>
      <color rgb="FF000000"/>
      <name val="Franklin Gothic Book"/>
      <family val="2"/>
    </font>
    <font>
      <b/>
      <sz val="10"/>
      <color rgb="FFFFFFFF"/>
      <name val="Franklin Gothic Book"/>
      <family val="2"/>
    </font>
    <font>
      <b/>
      <sz val="10"/>
      <name val="Franklin Gothic Book"/>
    </font>
    <font>
      <sz val="8"/>
      <color theme="1"/>
      <name val="Franklin Gothic Book"/>
    </font>
    <font>
      <sz val="10"/>
      <color theme="1"/>
      <name val="Arial"/>
    </font>
    <font>
      <b/>
      <sz val="10"/>
      <color rgb="FF000000"/>
      <name val="Arial"/>
    </font>
    <font>
      <sz val="10"/>
      <color rgb="FF000000"/>
      <name val="Arial"/>
    </font>
    <font>
      <b/>
      <sz val="8"/>
      <color rgb="FF000000"/>
      <name val="Franklin Gothic Book"/>
      <family val="2"/>
    </font>
    <font>
      <sz val="8"/>
      <color rgb="FF000000"/>
      <name val="Arial"/>
      <family val="2"/>
    </font>
    <font>
      <b/>
      <sz val="14"/>
      <color theme="1"/>
      <name val="Franklin Gothic Book"/>
      <family val="2"/>
    </font>
    <font>
      <b/>
      <sz val="12"/>
      <color theme="1"/>
      <name val="Franklin Gothic Book"/>
      <family val="2"/>
    </font>
    <font>
      <b/>
      <sz val="14"/>
      <color rgb="FF000000"/>
      <name val="Franklin Gothic Book"/>
      <family val="2"/>
    </font>
    <font>
      <sz val="12"/>
      <color theme="0"/>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sz val="10"/>
      <color theme="1"/>
      <name val="Franklin Gothic Book"/>
      <family val="2"/>
    </font>
    <font>
      <sz val="10"/>
      <color rgb="FF000000"/>
      <name val="Franklin Gothic Book"/>
      <family val="2"/>
      <charset val="1"/>
    </font>
    <font>
      <b/>
      <sz val="11"/>
      <name val="Franklin Gothic Book"/>
      <family val="2"/>
    </font>
    <font>
      <sz val="10"/>
      <color rgb="FF333333"/>
      <name val="Arial"/>
    </font>
    <font>
      <b/>
      <sz val="7"/>
      <name val="Franklin Gothic Book"/>
      <family val="2"/>
    </font>
    <font>
      <sz val="8"/>
      <color rgb="FF000000"/>
      <name val="Franklin Gothic Book"/>
      <charset val="1"/>
    </font>
    <font>
      <sz val="11"/>
      <color theme="1"/>
      <name val="Arial"/>
    </font>
    <font>
      <sz val="8"/>
      <color rgb="FF000000"/>
      <name val="Arial"/>
    </font>
    <font>
      <sz val="11"/>
      <color rgb="FF000000"/>
      <name val="Arial"/>
    </font>
    <font>
      <b/>
      <sz val="8"/>
      <color rgb="FF000000"/>
      <name val="Franklin Gothic Book"/>
      <charset val="1"/>
    </font>
    <font>
      <sz val="8"/>
      <color rgb="FF000000"/>
      <name val="Franklin Gothic Book"/>
      <family val="2"/>
      <charset val="1"/>
    </font>
    <font>
      <sz val="11"/>
      <color theme="1"/>
      <name val="Calibri"/>
      <family val="2"/>
      <charset val="1"/>
    </font>
    <font>
      <b/>
      <sz val="16"/>
      <color theme="1"/>
      <name val="Calibri"/>
      <family val="2"/>
      <scheme val="minor"/>
    </font>
    <font>
      <sz val="8"/>
      <color rgb="FF444444"/>
      <name val="Calibri"/>
      <family val="2"/>
      <charset val="1"/>
    </font>
    <font>
      <sz val="11"/>
      <color theme="1"/>
      <name val="Franklin Gothic Book"/>
      <family val="2"/>
    </font>
  </fonts>
  <fills count="14">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FFC000"/>
        <bgColor indexed="64"/>
      </patternFill>
    </fill>
    <fill>
      <patternFill patternType="solid">
        <fgColor rgb="FFED7D31"/>
        <bgColor indexed="64"/>
      </patternFill>
    </fill>
    <fill>
      <patternFill patternType="solid">
        <fgColor rgb="FFFFFF00"/>
        <bgColor indexed="64"/>
      </patternFill>
    </fill>
    <fill>
      <patternFill patternType="solid">
        <fgColor theme="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theme="3"/>
      </top>
      <bottom style="thin">
        <color rgb="FF000000"/>
      </bottom>
      <diagonal/>
    </border>
    <border>
      <left style="thin">
        <color theme="3"/>
      </left>
      <right/>
      <top/>
      <bottom style="hair">
        <color theme="3"/>
      </bottom>
      <diagonal/>
    </border>
    <border>
      <left/>
      <right/>
      <top/>
      <bottom style="thin">
        <color rgb="FF000000"/>
      </bottom>
      <diagonal/>
    </border>
    <border>
      <left/>
      <right/>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369">
    <xf numFmtId="0" fontId="0" fillId="0" borderId="0" xfId="0"/>
    <xf numFmtId="0" fontId="7" fillId="0" borderId="0" xfId="0" applyFont="1" applyAlignment="1">
      <alignment horizontal="left" vertical="center" wrapText="1" indent="1"/>
    </xf>
    <xf numFmtId="0" fontId="9" fillId="0" borderId="0" xfId="0" applyFont="1"/>
    <xf numFmtId="0" fontId="8"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0" fillId="0" borderId="0" xfId="0" applyFont="1"/>
    <xf numFmtId="0" fontId="10" fillId="0" borderId="0" xfId="0" applyFont="1" applyAlignment="1">
      <alignment horizontal="left" vertical="center" wrapText="1"/>
    </xf>
    <xf numFmtId="0" fontId="10" fillId="0" borderId="0" xfId="0" applyFont="1" applyAlignment="1">
      <alignment vertical="center" wrapText="1"/>
    </xf>
    <xf numFmtId="0" fontId="10" fillId="0" borderId="4" xfId="0" applyFont="1" applyBorder="1" applyAlignment="1">
      <alignment horizontal="center"/>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0" fontId="17" fillId="0" borderId="4" xfId="0" applyFont="1" applyBorder="1" applyAlignment="1">
      <alignment horizontal="center" vertical="center" wrapText="1" readingOrder="1"/>
    </xf>
    <xf numFmtId="165" fontId="10" fillId="0" borderId="4" xfId="0" applyNumberFormat="1" applyFont="1" applyBorder="1" applyAlignment="1">
      <alignment horizontal="center" vertical="center" wrapText="1"/>
    </xf>
    <xf numFmtId="164" fontId="17" fillId="0" borderId="4" xfId="1" applyFont="1" applyFill="1" applyBorder="1" applyAlignment="1">
      <alignment horizontal="center" vertical="center" wrapText="1" readingOrder="1"/>
    </xf>
    <xf numFmtId="164" fontId="10" fillId="0" borderId="4" xfId="1" applyFont="1" applyFill="1" applyBorder="1" applyAlignment="1">
      <alignment vertical="center" wrapText="1"/>
    </xf>
    <xf numFmtId="0" fontId="10" fillId="0" borderId="4" xfId="0" applyFont="1" applyBorder="1"/>
    <xf numFmtId="0" fontId="10" fillId="0" borderId="1" xfId="0" applyFont="1" applyBorder="1" applyAlignment="1">
      <alignment horizontal="center"/>
    </xf>
    <xf numFmtId="0" fontId="11" fillId="0" borderId="1" xfId="0" applyFont="1" applyBorder="1" applyAlignment="1">
      <alignment horizontal="left" vertical="center" wrapText="1"/>
    </xf>
    <xf numFmtId="0" fontId="17" fillId="0" borderId="1" xfId="0" applyFont="1" applyBorder="1" applyAlignment="1">
      <alignment horizontal="center" vertical="center" wrapText="1" readingOrder="1"/>
    </xf>
    <xf numFmtId="165" fontId="10" fillId="0" borderId="1" xfId="0" applyNumberFormat="1" applyFont="1" applyBorder="1" applyAlignment="1">
      <alignment horizontal="center" vertical="center" wrapText="1"/>
    </xf>
    <xf numFmtId="164" fontId="17" fillId="0" borderId="1" xfId="1" applyFont="1" applyFill="1" applyBorder="1" applyAlignment="1">
      <alignment horizontal="center" vertical="center" wrapText="1" readingOrder="1"/>
    </xf>
    <xf numFmtId="164" fontId="10" fillId="0" borderId="1" xfId="1" applyFont="1" applyFill="1" applyBorder="1" applyAlignment="1">
      <alignment vertical="center" wrapText="1"/>
    </xf>
    <xf numFmtId="0" fontId="10" fillId="0" borderId="1" xfId="0" applyFont="1" applyBorder="1"/>
    <xf numFmtId="0" fontId="11" fillId="0" borderId="1" xfId="3" applyFont="1" applyBorder="1" applyAlignment="1">
      <alignment horizontal="left" vertical="center" wrapText="1"/>
    </xf>
    <xf numFmtId="0" fontId="11" fillId="0" borderId="1" xfId="0" applyFont="1" applyBorder="1" applyAlignment="1">
      <alignment horizontal="left" vertical="center" wrapText="1" readingOrder="1"/>
    </xf>
    <xf numFmtId="0" fontId="11" fillId="0" borderId="1" xfId="0" applyFont="1" applyBorder="1" applyAlignment="1">
      <alignment horizontal="center" vertical="center" wrapText="1" readingOrder="1"/>
    </xf>
    <xf numFmtId="9" fontId="17" fillId="0" borderId="1" xfId="2" applyFont="1" applyFill="1" applyBorder="1" applyAlignment="1">
      <alignment horizontal="center" vertical="center" wrapText="1" readingOrder="1"/>
    </xf>
    <xf numFmtId="0" fontId="11" fillId="4" borderId="1" xfId="0" applyFont="1" applyFill="1" applyBorder="1" applyAlignment="1">
      <alignment vertical="center" wrapText="1"/>
    </xf>
    <xf numFmtId="9" fontId="17" fillId="0" borderId="4" xfId="2" applyFont="1" applyFill="1" applyBorder="1" applyAlignment="1">
      <alignment horizontal="center" vertical="center" wrapText="1" readingOrder="1"/>
    </xf>
    <xf numFmtId="0" fontId="14" fillId="0" borderId="1" xfId="0" applyFont="1" applyBorder="1"/>
    <xf numFmtId="0" fontId="18" fillId="0" borderId="1" xfId="0" applyFont="1" applyBorder="1" applyAlignment="1">
      <alignment horizontal="left" vertical="center" wrapText="1" indent="1"/>
    </xf>
    <xf numFmtId="0" fontId="14" fillId="0" borderId="1" xfId="0" applyFont="1" applyBorder="1" applyAlignment="1">
      <alignment vertical="center" wrapText="1"/>
    </xf>
    <xf numFmtId="0" fontId="13" fillId="4" borderId="1" xfId="0" applyFont="1" applyFill="1" applyBorder="1" applyAlignment="1">
      <alignment vertical="center"/>
    </xf>
    <xf numFmtId="0" fontId="14" fillId="0" borderId="0" xfId="0" applyFont="1" applyAlignment="1">
      <alignment vertical="center"/>
    </xf>
    <xf numFmtId="0" fontId="14" fillId="0" borderId="0" xfId="0" applyFont="1"/>
    <xf numFmtId="0" fontId="11" fillId="4" borderId="1" xfId="0" applyFont="1" applyFill="1" applyBorder="1" applyAlignment="1">
      <alignment vertical="center"/>
    </xf>
    <xf numFmtId="0" fontId="10" fillId="0" borderId="0" xfId="0" applyFont="1" applyAlignment="1">
      <alignment vertical="center"/>
    </xf>
    <xf numFmtId="0" fontId="12" fillId="2" borderId="1" xfId="0" applyFont="1" applyFill="1" applyBorder="1" applyAlignment="1">
      <alignment horizontal="center" vertical="center"/>
    </xf>
    <xf numFmtId="0" fontId="10" fillId="0" borderId="0" xfId="0" applyFont="1" applyAlignment="1">
      <alignment horizontal="left" vertical="center"/>
    </xf>
    <xf numFmtId="0" fontId="11" fillId="4" borderId="1" xfId="0" applyFont="1" applyFill="1" applyBorder="1" applyAlignment="1">
      <alignment horizontal="left" vertical="center"/>
    </xf>
    <xf numFmtId="0" fontId="10" fillId="0" borderId="0" xfId="0" applyFont="1" applyAlignment="1">
      <alignment horizontal="left"/>
    </xf>
    <xf numFmtId="9" fontId="17" fillId="0" borderId="4" xfId="0" applyNumberFormat="1" applyFont="1" applyBorder="1" applyAlignment="1">
      <alignment horizontal="center" vertical="center" wrapText="1" readingOrder="1"/>
    </xf>
    <xf numFmtId="9" fontId="17" fillId="0" borderId="1" xfId="0" applyNumberFormat="1" applyFont="1" applyBorder="1" applyAlignment="1">
      <alignment horizontal="center" vertical="center" wrapText="1" readingOrder="1"/>
    </xf>
    <xf numFmtId="0" fontId="20" fillId="0" borderId="1" xfId="0" applyFont="1" applyBorder="1" applyAlignment="1">
      <alignment horizontal="center"/>
    </xf>
    <xf numFmtId="0" fontId="21" fillId="0" borderId="4" xfId="0" applyFont="1" applyBorder="1" applyAlignment="1">
      <alignment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9" fontId="22" fillId="0" borderId="4" xfId="2" applyFont="1" applyFill="1" applyBorder="1" applyAlignment="1">
      <alignment horizontal="center" vertical="center" wrapText="1" readingOrder="1"/>
    </xf>
    <xf numFmtId="0" fontId="24" fillId="0" borderId="4"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wrapText="1"/>
    </xf>
    <xf numFmtId="0" fontId="25" fillId="4" borderId="1" xfId="0" applyFont="1" applyFill="1" applyBorder="1" applyAlignment="1">
      <alignment vertical="center"/>
    </xf>
    <xf numFmtId="0" fontId="26" fillId="0" borderId="6" xfId="0" applyFont="1" applyBorder="1" applyAlignment="1">
      <alignment wrapText="1"/>
    </xf>
    <xf numFmtId="0" fontId="14" fillId="0" borderId="1" xfId="0" applyFont="1" applyBorder="1" applyAlignment="1">
      <alignment horizontal="center"/>
    </xf>
    <xf numFmtId="0" fontId="10" fillId="0" borderId="1" xfId="0" applyFont="1" applyBorder="1" applyAlignment="1">
      <alignment horizontal="center" vertical="center" wrapText="1"/>
    </xf>
    <xf numFmtId="0" fontId="10" fillId="0" borderId="6" xfId="0" applyFont="1" applyBorder="1"/>
    <xf numFmtId="9" fontId="17" fillId="0" borderId="2" xfId="2" applyFont="1" applyFill="1" applyBorder="1" applyAlignment="1">
      <alignment horizontal="center" vertical="center" wrapText="1" readingOrder="1"/>
    </xf>
    <xf numFmtId="0" fontId="28" fillId="0" borderId="0" xfId="0" applyFont="1" applyAlignment="1">
      <alignment horizontal="left" vertical="top" wrapText="1"/>
    </xf>
    <xf numFmtId="0" fontId="29" fillId="2" borderId="1" xfId="0" applyFont="1" applyFill="1" applyBorder="1" applyAlignment="1">
      <alignment horizontal="center" vertical="center" wrapText="1"/>
    </xf>
    <xf numFmtId="0" fontId="17" fillId="0" borderId="4" xfId="0" applyFont="1" applyBorder="1" applyAlignment="1">
      <alignment wrapText="1"/>
    </xf>
    <xf numFmtId="0" fontId="11" fillId="0" borderId="4" xfId="0" applyFont="1" applyBorder="1" applyAlignment="1">
      <alignment wrapText="1"/>
    </xf>
    <xf numFmtId="0" fontId="11" fillId="5" borderId="1" xfId="0" applyFont="1" applyFill="1" applyBorder="1" applyAlignment="1">
      <alignment wrapText="1"/>
    </xf>
    <xf numFmtId="0" fontId="11" fillId="5" borderId="4" xfId="0" applyFont="1" applyFill="1" applyBorder="1" applyAlignment="1">
      <alignment wrapText="1"/>
    </xf>
    <xf numFmtId="0" fontId="28" fillId="0" borderId="0" xfId="0" applyFont="1" applyAlignment="1">
      <alignment horizontal="center" vertical="center" wrapText="1"/>
    </xf>
    <xf numFmtId="9" fontId="10" fillId="0" borderId="0" xfId="0" applyNumberFormat="1" applyFont="1"/>
    <xf numFmtId="0" fontId="25" fillId="0" borderId="4" xfId="0" applyFont="1" applyBorder="1" applyAlignment="1">
      <alignment horizontal="center" vertical="center" wrapText="1"/>
    </xf>
    <xf numFmtId="0" fontId="10" fillId="0" borderId="1" xfId="0" applyFont="1" applyBorder="1" applyAlignment="1">
      <alignment wrapText="1"/>
    </xf>
    <xf numFmtId="0" fontId="24" fillId="5" borderId="7"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32" fillId="0" borderId="1" xfId="0" applyFont="1" applyBorder="1" applyAlignment="1">
      <alignment horizontal="center" vertical="center"/>
    </xf>
    <xf numFmtId="0" fontId="10" fillId="0" borderId="4" xfId="0" applyFont="1" applyBorder="1" applyAlignment="1">
      <alignment wrapText="1"/>
    </xf>
    <xf numFmtId="0" fontId="10" fillId="0" borderId="4" xfId="0" applyFont="1" applyBorder="1" applyAlignment="1">
      <alignment horizontal="center" vertical="center" wrapText="1"/>
    </xf>
    <xf numFmtId="0" fontId="10" fillId="0" borderId="4" xfId="0" applyFont="1" applyBorder="1" applyAlignment="1">
      <alignment vertical="center"/>
    </xf>
    <xf numFmtId="0" fontId="10" fillId="0" borderId="1" xfId="0" applyFont="1" applyBorder="1" applyAlignment="1">
      <alignment vertical="center"/>
    </xf>
    <xf numFmtId="0" fontId="25" fillId="4" borderId="1" xfId="0" applyFont="1" applyFill="1" applyBorder="1" applyAlignment="1">
      <alignment vertical="center" wrapText="1"/>
    </xf>
    <xf numFmtId="0" fontId="25" fillId="4" borderId="1" xfId="0" applyFont="1" applyFill="1" applyBorder="1" applyAlignment="1">
      <alignment horizontal="left" vertical="center" wrapText="1"/>
    </xf>
    <xf numFmtId="9" fontId="24" fillId="0" borderId="1" xfId="2" applyFont="1" applyBorder="1" applyAlignment="1">
      <alignment horizontal="center" vertical="center" wrapText="1" readingOrder="1"/>
    </xf>
    <xf numFmtId="9" fontId="24" fillId="0" borderId="1" xfId="0" applyNumberFormat="1" applyFont="1" applyBorder="1" applyAlignment="1">
      <alignment horizontal="center" vertical="center" wrapText="1" readingOrder="1"/>
    </xf>
    <xf numFmtId="0" fontId="24" fillId="0" borderId="1" xfId="0" applyFont="1" applyBorder="1" applyAlignment="1">
      <alignment horizontal="center" vertical="center" wrapText="1" readingOrder="1"/>
    </xf>
    <xf numFmtId="165" fontId="32" fillId="0" borderId="4" xfId="0" applyNumberFormat="1" applyFont="1" applyBorder="1" applyAlignment="1">
      <alignment horizontal="center" vertical="center" wrapText="1"/>
    </xf>
    <xf numFmtId="164" fontId="24" fillId="0" borderId="1" xfId="1" applyFont="1" applyBorder="1" applyAlignment="1">
      <alignment horizontal="center" vertical="center" wrapText="1" readingOrder="1"/>
    </xf>
    <xf numFmtId="164" fontId="32" fillId="0" borderId="1" xfId="1" applyFont="1" applyBorder="1" applyAlignment="1">
      <alignment vertical="center" wrapText="1"/>
    </xf>
    <xf numFmtId="0" fontId="32" fillId="0" borderId="1" xfId="0" applyFont="1" applyBorder="1"/>
    <xf numFmtId="9" fontId="36" fillId="0" borderId="6" xfId="2" applyFont="1" applyFill="1" applyBorder="1" applyAlignment="1">
      <alignment horizontal="center" vertical="center" wrapText="1" readingOrder="1"/>
    </xf>
    <xf numFmtId="0" fontId="11" fillId="4" borderId="5" xfId="0" applyFont="1" applyFill="1" applyBorder="1" applyAlignment="1">
      <alignment horizontal="left" vertical="center"/>
    </xf>
    <xf numFmtId="9" fontId="17" fillId="0" borderId="7" xfId="2" applyFont="1" applyFill="1" applyBorder="1" applyAlignment="1">
      <alignment horizontal="center" vertical="center" wrapText="1" readingOrder="1"/>
    </xf>
    <xf numFmtId="0" fontId="32" fillId="0" borderId="1" xfId="0" applyFont="1" applyBorder="1" applyAlignment="1">
      <alignment wrapText="1"/>
    </xf>
    <xf numFmtId="0" fontId="10" fillId="6" borderId="1" xfId="0" applyFont="1" applyFill="1" applyBorder="1" applyAlignment="1">
      <alignment horizontal="center" vertical="center" wrapText="1"/>
    </xf>
    <xf numFmtId="0" fontId="10" fillId="7" borderId="4"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3" fillId="7" borderId="1" xfId="0" applyFont="1" applyFill="1" applyBorder="1" applyAlignment="1">
      <alignment vertical="center"/>
    </xf>
    <xf numFmtId="0" fontId="11" fillId="6" borderId="1" xfId="0" applyFont="1" applyFill="1" applyBorder="1" applyAlignment="1">
      <alignment wrapText="1"/>
    </xf>
    <xf numFmtId="0" fontId="10" fillId="0" borderId="6" xfId="0" applyFont="1" applyBorder="1" applyAlignment="1">
      <alignment wrapText="1"/>
    </xf>
    <xf numFmtId="0" fontId="11" fillId="4" borderId="7" xfId="0" applyFont="1" applyFill="1" applyBorder="1" applyAlignment="1">
      <alignment vertical="center"/>
    </xf>
    <xf numFmtId="0" fontId="11" fillId="0" borderId="2" xfId="0" applyFont="1" applyBorder="1" applyAlignment="1">
      <alignment horizontal="left" vertical="center" wrapText="1"/>
    </xf>
    <xf numFmtId="0" fontId="11" fillId="0" borderId="4" xfId="3" applyFont="1" applyBorder="1" applyAlignment="1">
      <alignment horizontal="left" vertical="center" wrapText="1"/>
    </xf>
    <xf numFmtId="0" fontId="17" fillId="8" borderId="4" xfId="0" applyFont="1" applyFill="1" applyBorder="1" applyAlignment="1">
      <alignment wrapText="1"/>
    </xf>
    <xf numFmtId="0" fontId="26" fillId="8" borderId="6" xfId="0" applyFont="1" applyFill="1" applyBorder="1" applyAlignment="1">
      <alignment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25" fillId="5" borderId="7"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4" xfId="0" applyFont="1" applyFill="1" applyBorder="1" applyAlignment="1">
      <alignment horizontal="left" vertical="top" wrapText="1"/>
    </xf>
    <xf numFmtId="0" fontId="17" fillId="4" borderId="1" xfId="0" applyFont="1" applyFill="1" applyBorder="1" applyAlignment="1">
      <alignment horizontal="left" vertical="top" wrapText="1"/>
    </xf>
    <xf numFmtId="9" fontId="17" fillId="0" borderId="1" xfId="2" applyFont="1" applyFill="1" applyBorder="1" applyAlignment="1">
      <alignment horizontal="left" vertical="top" wrapText="1" readingOrder="1"/>
    </xf>
    <xf numFmtId="0" fontId="17" fillId="0" borderId="4" xfId="0" applyFont="1" applyBorder="1" applyAlignment="1">
      <alignment horizontal="left" vertical="top" wrapText="1"/>
    </xf>
    <xf numFmtId="0" fontId="17" fillId="0" borderId="1" xfId="0" applyFont="1" applyBorder="1" applyAlignment="1">
      <alignment horizontal="left" vertical="top" wrapText="1" readingOrder="1"/>
    </xf>
    <xf numFmtId="164" fontId="17" fillId="0" borderId="1" xfId="1" applyFont="1" applyFill="1" applyBorder="1" applyAlignment="1">
      <alignment horizontal="left" vertical="top" wrapText="1" readingOrder="1"/>
    </xf>
    <xf numFmtId="0" fontId="17" fillId="0" borderId="1" xfId="0" applyFont="1" applyBorder="1" applyAlignment="1">
      <alignment horizontal="left" vertical="top" wrapText="1"/>
    </xf>
    <xf numFmtId="0" fontId="24" fillId="0" borderId="4" xfId="0" applyFont="1" applyBorder="1" applyAlignment="1">
      <alignment horizontal="left" vertical="top" wrapText="1"/>
    </xf>
    <xf numFmtId="0" fontId="24" fillId="0" borderId="1" xfId="0" applyFont="1" applyBorder="1" applyAlignment="1">
      <alignment horizontal="left" vertical="top" wrapText="1" readingOrder="1"/>
    </xf>
    <xf numFmtId="0" fontId="10" fillId="0" borderId="6" xfId="0" applyFont="1" applyBorder="1" applyAlignment="1">
      <alignment horizontal="center"/>
    </xf>
    <xf numFmtId="0" fontId="10" fillId="8" borderId="6" xfId="0" applyFont="1" applyFill="1" applyBorder="1" applyAlignment="1">
      <alignment horizontal="center" wrapText="1"/>
    </xf>
    <xf numFmtId="0" fontId="11" fillId="8" borderId="6" xfId="0" applyFont="1" applyFill="1" applyBorder="1" applyAlignment="1">
      <alignment horizontal="left" vertical="center" wrapText="1"/>
    </xf>
    <xf numFmtId="0" fontId="11" fillId="4" borderId="6" xfId="0" applyFont="1" applyFill="1" applyBorder="1" applyAlignment="1">
      <alignment vertical="center"/>
    </xf>
    <xf numFmtId="0" fontId="13" fillId="4" borderId="6" xfId="0" applyFont="1" applyFill="1" applyBorder="1" applyAlignment="1">
      <alignment vertical="center"/>
    </xf>
    <xf numFmtId="0" fontId="11" fillId="4" borderId="6" xfId="0" applyFont="1" applyFill="1" applyBorder="1" applyAlignment="1">
      <alignment horizontal="left" vertical="center"/>
    </xf>
    <xf numFmtId="9" fontId="17" fillId="0" borderId="6" xfId="2" applyFont="1" applyFill="1" applyBorder="1" applyAlignment="1">
      <alignment horizontal="center" vertical="center" wrapText="1" readingOrder="1"/>
    </xf>
    <xf numFmtId="0" fontId="11" fillId="0" borderId="6" xfId="0" applyFont="1" applyBorder="1" applyAlignment="1">
      <alignment horizontal="center" vertical="center" wrapText="1"/>
    </xf>
    <xf numFmtId="9" fontId="17" fillId="0" borderId="6" xfId="0" applyNumberFormat="1" applyFont="1" applyBorder="1" applyAlignment="1">
      <alignment horizontal="center" vertical="center" wrapText="1" readingOrder="1"/>
    </xf>
    <xf numFmtId="0" fontId="17" fillId="0" borderId="6" xfId="0" applyFont="1" applyBorder="1" applyAlignment="1">
      <alignment horizontal="center" vertical="center" wrapText="1" readingOrder="1"/>
    </xf>
    <xf numFmtId="165" fontId="10" fillId="0" borderId="6" xfId="0" applyNumberFormat="1" applyFont="1" applyBorder="1" applyAlignment="1">
      <alignment horizontal="center" vertical="center" wrapText="1"/>
    </xf>
    <xf numFmtId="164" fontId="17" fillId="0" borderId="6" xfId="1" applyFont="1" applyFill="1" applyBorder="1" applyAlignment="1">
      <alignment horizontal="center" vertical="center" wrapText="1" readingOrder="1"/>
    </xf>
    <xf numFmtId="164" fontId="10" fillId="0" borderId="6" xfId="1" applyFont="1" applyFill="1" applyBorder="1" applyAlignment="1">
      <alignment vertical="center" wrapText="1"/>
    </xf>
    <xf numFmtId="0" fontId="11" fillId="4" borderId="6" xfId="0" applyFont="1" applyFill="1" applyBorder="1" applyAlignment="1">
      <alignment vertical="center" wrapText="1"/>
    </xf>
    <xf numFmtId="0" fontId="11" fillId="0" borderId="6" xfId="0" applyFont="1" applyBorder="1" applyAlignment="1">
      <alignment horizontal="left" vertical="center" wrapText="1"/>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9" fontId="24" fillId="0" borderId="6" xfId="2" applyFont="1" applyBorder="1" applyAlignment="1">
      <alignment horizontal="center" vertical="center" wrapText="1" readingOrder="1"/>
    </xf>
    <xf numFmtId="0" fontId="25" fillId="0" borderId="6" xfId="0" applyFont="1" applyBorder="1" applyAlignment="1">
      <alignment horizontal="center" vertical="center" wrapText="1"/>
    </xf>
    <xf numFmtId="0" fontId="27" fillId="4" borderId="6" xfId="0" applyFont="1" applyFill="1" applyBorder="1" applyAlignment="1">
      <alignment vertical="center"/>
    </xf>
    <xf numFmtId="0" fontId="25" fillId="4" borderId="6" xfId="0" applyFont="1" applyFill="1" applyBorder="1" applyAlignment="1">
      <alignment horizontal="left" vertical="center"/>
    </xf>
    <xf numFmtId="0" fontId="10" fillId="8" borderId="6" xfId="0" applyFont="1" applyFill="1" applyBorder="1" applyAlignment="1">
      <alignment wrapText="1"/>
    </xf>
    <xf numFmtId="0" fontId="10" fillId="0" borderId="6" xfId="0" applyFont="1" applyBorder="1" applyAlignment="1">
      <alignment horizontal="left" wrapText="1"/>
    </xf>
    <xf numFmtId="0" fontId="10" fillId="0" borderId="6" xfId="0" applyFont="1" applyBorder="1" applyAlignment="1">
      <alignment horizontal="left"/>
    </xf>
    <xf numFmtId="0" fontId="11" fillId="0" borderId="6" xfId="3" applyFont="1" applyBorder="1" applyAlignment="1">
      <alignment horizontal="center" vertical="center" wrapText="1"/>
    </xf>
    <xf numFmtId="0" fontId="10" fillId="0" borderId="6" xfId="0" applyFont="1" applyBorder="1" applyAlignment="1">
      <alignment horizontal="center" vertical="center"/>
    </xf>
    <xf numFmtId="0" fontId="25" fillId="4" borderId="6" xfId="0" applyFont="1" applyFill="1" applyBorder="1" applyAlignment="1">
      <alignment vertical="center"/>
    </xf>
    <xf numFmtId="0" fontId="10" fillId="0" borderId="6" xfId="0" applyFont="1" applyBorder="1" applyAlignment="1">
      <alignment horizontal="center" vertical="center" wrapText="1"/>
    </xf>
    <xf numFmtId="0" fontId="11" fillId="0" borderId="6" xfId="3" applyFont="1" applyBorder="1" applyAlignment="1">
      <alignment horizontal="left" vertical="center" wrapText="1"/>
    </xf>
    <xf numFmtId="0" fontId="24" fillId="0" borderId="6" xfId="0" applyFont="1" applyBorder="1" applyAlignment="1">
      <alignment horizontal="center" wrapText="1"/>
    </xf>
    <xf numFmtId="0" fontId="10" fillId="0" borderId="6" xfId="0" applyFont="1" applyBorder="1" applyAlignment="1">
      <alignment horizontal="center" wrapText="1"/>
    </xf>
    <xf numFmtId="9" fontId="10" fillId="0" borderId="1" xfId="0" applyNumberFormat="1" applyFont="1" applyBorder="1" applyAlignment="1">
      <alignment horizontal="center" vertical="center"/>
    </xf>
    <xf numFmtId="0" fontId="35" fillId="0" borderId="4" xfId="0" applyFont="1" applyBorder="1" applyAlignment="1">
      <alignment vertical="center" wrapText="1"/>
    </xf>
    <xf numFmtId="0" fontId="10" fillId="0" borderId="0" xfId="0" applyFont="1" applyAlignment="1">
      <alignment wrapText="1"/>
    </xf>
    <xf numFmtId="0" fontId="24" fillId="0" borderId="6" xfId="0" applyFont="1" applyBorder="1" applyAlignment="1">
      <alignment horizontal="center" vertical="center" wrapText="1" readingOrder="1"/>
    </xf>
    <xf numFmtId="0" fontId="10" fillId="8" borderId="6" xfId="0" applyFont="1" applyFill="1" applyBorder="1" applyAlignment="1">
      <alignment horizontal="center" vertical="center" wrapText="1"/>
    </xf>
    <xf numFmtId="0" fontId="11" fillId="0" borderId="4"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top" wrapText="1"/>
    </xf>
    <xf numFmtId="0" fontId="17" fillId="9" borderId="1" xfId="0" applyFont="1" applyFill="1" applyBorder="1" applyAlignment="1">
      <alignment horizontal="center" vertical="center" wrapText="1" readingOrder="1"/>
    </xf>
    <xf numFmtId="0" fontId="17" fillId="0" borderId="4" xfId="0" applyFont="1" applyBorder="1" applyAlignment="1">
      <alignment horizontal="left" vertical="center" wrapText="1" readingOrder="1"/>
    </xf>
    <xf numFmtId="0" fontId="17" fillId="0" borderId="1" xfId="0" applyFont="1" applyBorder="1" applyAlignment="1">
      <alignment horizontal="left" vertical="center" wrapText="1" readingOrder="1"/>
    </xf>
    <xf numFmtId="9" fontId="17" fillId="0" borderId="1" xfId="2" applyFont="1" applyFill="1" applyBorder="1" applyAlignment="1">
      <alignment horizontal="left" vertical="center" wrapText="1" readingOrder="1"/>
    </xf>
    <xf numFmtId="9" fontId="24" fillId="0" borderId="1" xfId="2" applyFont="1" applyBorder="1" applyAlignment="1">
      <alignment horizontal="left" vertical="center" wrapText="1" readingOrder="1"/>
    </xf>
    <xf numFmtId="166" fontId="10" fillId="0" borderId="6" xfId="0" applyNumberFormat="1" applyFont="1" applyBorder="1" applyAlignment="1">
      <alignment horizontal="center" vertical="center"/>
    </xf>
    <xf numFmtId="9" fontId="10" fillId="0" borderId="6" xfId="0" applyNumberFormat="1" applyFont="1" applyBorder="1" applyAlignment="1">
      <alignment horizontal="center" vertical="center"/>
    </xf>
    <xf numFmtId="0" fontId="11" fillId="0" borderId="13" xfId="0" applyFont="1" applyBorder="1" applyAlignment="1">
      <alignment horizontal="center" vertical="center" wrapText="1"/>
    </xf>
    <xf numFmtId="0" fontId="12" fillId="2" borderId="14" xfId="0" applyFont="1" applyFill="1" applyBorder="1" applyAlignment="1">
      <alignment horizontal="center" vertical="center" wrapText="1"/>
    </xf>
    <xf numFmtId="0" fontId="17" fillId="0" borderId="15" xfId="0" applyFont="1" applyBorder="1" applyAlignment="1">
      <alignment horizontal="center" vertical="center" wrapText="1" readingOrder="1"/>
    </xf>
    <xf numFmtId="9" fontId="17" fillId="0" borderId="16" xfId="0" applyNumberFormat="1" applyFont="1" applyBorder="1" applyAlignment="1">
      <alignment horizontal="center" vertical="center" wrapText="1" readingOrder="1"/>
    </xf>
    <xf numFmtId="0" fontId="10" fillId="6" borderId="1" xfId="0" applyFont="1" applyFill="1" applyBorder="1" applyAlignment="1">
      <alignment wrapText="1"/>
    </xf>
    <xf numFmtId="9" fontId="10" fillId="0" borderId="4" xfId="0" applyNumberFormat="1" applyFont="1" applyBorder="1" applyAlignment="1">
      <alignment horizontal="center" vertical="center"/>
    </xf>
    <xf numFmtId="166" fontId="10" fillId="0" borderId="4" xfId="0" applyNumberFormat="1" applyFont="1" applyBorder="1" applyAlignment="1">
      <alignment horizontal="center" vertical="center"/>
    </xf>
    <xf numFmtId="0" fontId="10" fillId="0" borderId="4" xfId="0" applyFont="1" applyBorder="1" applyAlignment="1">
      <alignment vertical="center" wrapText="1"/>
    </xf>
    <xf numFmtId="9" fontId="32" fillId="0" borderId="6" xfId="0" applyNumberFormat="1" applyFont="1" applyBorder="1" applyAlignment="1">
      <alignment horizontal="center" vertical="center"/>
    </xf>
    <xf numFmtId="0" fontId="32" fillId="0" borderId="6" xfId="0" applyFont="1" applyBorder="1" applyAlignment="1">
      <alignment wrapText="1"/>
    </xf>
    <xf numFmtId="9" fontId="39" fillId="0" borderId="0" xfId="0" applyNumberFormat="1" applyFont="1" applyAlignment="1">
      <alignment horizontal="center"/>
    </xf>
    <xf numFmtId="9" fontId="38" fillId="0" borderId="0" xfId="0" applyNumberFormat="1" applyFont="1" applyAlignment="1">
      <alignment horizontal="center" vertical="center"/>
    </xf>
    <xf numFmtId="9" fontId="39" fillId="0" borderId="0" xfId="0" applyNumberFormat="1" applyFont="1"/>
    <xf numFmtId="9" fontId="32" fillId="0" borderId="4" xfId="0" applyNumberFormat="1" applyFont="1" applyBorder="1" applyAlignment="1">
      <alignment horizontal="center" vertical="center"/>
    </xf>
    <xf numFmtId="9" fontId="38" fillId="0" borderId="0" xfId="0" applyNumberFormat="1" applyFont="1" applyAlignment="1">
      <alignment horizontal="center"/>
    </xf>
    <xf numFmtId="9" fontId="38" fillId="0" borderId="0" xfId="0" applyNumberFormat="1" applyFont="1"/>
    <xf numFmtId="0" fontId="37" fillId="4" borderId="8" xfId="0" applyFont="1" applyFill="1" applyBorder="1" applyAlignment="1" applyProtection="1">
      <alignment horizontal="left" vertical="top" wrapText="1"/>
      <protection locked="0"/>
    </xf>
    <xf numFmtId="0" fontId="37" fillId="4" borderId="9" xfId="0" applyFont="1" applyFill="1" applyBorder="1" applyAlignment="1" applyProtection="1">
      <alignment horizontal="left" vertical="top" wrapText="1"/>
      <protection locked="0"/>
    </xf>
    <xf numFmtId="9" fontId="10" fillId="0" borderId="4" xfId="0" applyNumberFormat="1" applyFont="1" applyBorder="1" applyAlignment="1">
      <alignment horizontal="center"/>
    </xf>
    <xf numFmtId="9" fontId="10" fillId="0" borderId="1" xfId="0" applyNumberFormat="1" applyFont="1" applyBorder="1" applyAlignment="1">
      <alignment horizontal="center"/>
    </xf>
    <xf numFmtId="9" fontId="40" fillId="0" borderId="0" xfId="0" applyNumberFormat="1" applyFont="1" applyAlignment="1">
      <alignment horizontal="center" vertical="top" wrapText="1"/>
    </xf>
    <xf numFmtId="9" fontId="17" fillId="0" borderId="1" xfId="0" applyNumberFormat="1" applyFont="1" applyBorder="1" applyAlignment="1">
      <alignment horizontal="center" vertical="center" wrapText="1"/>
    </xf>
    <xf numFmtId="9" fontId="40" fillId="0" borderId="0" xfId="0" applyNumberFormat="1" applyFont="1" applyAlignment="1">
      <alignment horizontal="center" vertical="center" wrapText="1"/>
    </xf>
    <xf numFmtId="9" fontId="19" fillId="0" borderId="4" xfId="0" applyNumberFormat="1" applyFont="1" applyBorder="1" applyAlignment="1">
      <alignment horizontal="center" vertical="center"/>
    </xf>
    <xf numFmtId="9" fontId="24" fillId="0" borderId="1" xfId="2" applyFont="1" applyBorder="1" applyAlignment="1">
      <alignment horizontal="left" vertical="top" wrapText="1" readingOrder="1"/>
    </xf>
    <xf numFmtId="165" fontId="17" fillId="0" borderId="1" xfId="0" applyNumberFormat="1" applyFont="1" applyBorder="1" applyAlignment="1">
      <alignment horizontal="center" vertical="center" wrapText="1"/>
    </xf>
    <xf numFmtId="9" fontId="10" fillId="0" borderId="6" xfId="0" applyNumberFormat="1" applyFont="1" applyBorder="1"/>
    <xf numFmtId="9" fontId="10" fillId="0" borderId="6" xfId="0" applyNumberFormat="1" applyFont="1" applyBorder="1" applyAlignment="1">
      <alignment horizontal="center"/>
    </xf>
    <xf numFmtId="0" fontId="41" fillId="10" borderId="6" xfId="0" applyFont="1" applyFill="1" applyBorder="1" applyAlignment="1">
      <alignment horizontal="center"/>
    </xf>
    <xf numFmtId="0" fontId="42" fillId="0" borderId="6" xfId="0" applyFont="1" applyBorder="1"/>
    <xf numFmtId="0" fontId="41" fillId="10" borderId="17" xfId="0" applyFont="1" applyFill="1" applyBorder="1" applyAlignment="1">
      <alignment horizontal="center"/>
    </xf>
    <xf numFmtId="9" fontId="42" fillId="0" borderId="6" xfId="0" applyNumberFormat="1" applyFont="1" applyBorder="1"/>
    <xf numFmtId="9" fontId="42" fillId="0" borderId="13" xfId="0" applyNumberFormat="1" applyFont="1" applyBorder="1"/>
    <xf numFmtId="9" fontId="40" fillId="0" borderId="4" xfId="0" applyNumberFormat="1" applyFont="1" applyBorder="1" applyAlignment="1">
      <alignment horizontal="center" vertical="center" wrapText="1" readingOrder="1"/>
    </xf>
    <xf numFmtId="0" fontId="43" fillId="0" borderId="0" xfId="0" applyFont="1"/>
    <xf numFmtId="0" fontId="42" fillId="0" borderId="17" xfId="0" applyFont="1" applyBorder="1"/>
    <xf numFmtId="9" fontId="42" fillId="0" borderId="17" xfId="0" applyNumberFormat="1" applyFont="1" applyBorder="1"/>
    <xf numFmtId="9" fontId="42" fillId="0" borderId="18" xfId="0" applyNumberFormat="1" applyFont="1" applyBorder="1"/>
    <xf numFmtId="0" fontId="43" fillId="11" borderId="6" xfId="0" applyFont="1" applyFill="1" applyBorder="1"/>
    <xf numFmtId="9" fontId="42" fillId="0" borderId="6" xfId="0" applyNumberFormat="1" applyFont="1" applyBorder="1" applyAlignment="1">
      <alignment horizontal="center"/>
    </xf>
    <xf numFmtId="9" fontId="42" fillId="0" borderId="17" xfId="0" applyNumberFormat="1" applyFont="1" applyBorder="1" applyAlignment="1">
      <alignment horizontal="center"/>
    </xf>
    <xf numFmtId="9" fontId="17" fillId="4" borderId="1" xfId="0" applyNumberFormat="1" applyFont="1" applyFill="1" applyBorder="1" applyAlignment="1">
      <alignment horizontal="center" vertical="center" wrapText="1" readingOrder="1"/>
    </xf>
    <xf numFmtId="0" fontId="17" fillId="4" borderId="1" xfId="0" applyFont="1" applyFill="1" applyBorder="1" applyAlignment="1">
      <alignment horizontal="center" vertical="center" wrapText="1" readingOrder="1"/>
    </xf>
    <xf numFmtId="9" fontId="24" fillId="4" borderId="1" xfId="0" applyNumberFormat="1" applyFont="1" applyFill="1" applyBorder="1" applyAlignment="1">
      <alignment horizontal="center" vertical="center" wrapText="1" readingOrder="1"/>
    </xf>
    <xf numFmtId="0" fontId="44" fillId="0" borderId="6" xfId="0" applyFont="1" applyBorder="1"/>
    <xf numFmtId="0" fontId="44" fillId="0" borderId="6" xfId="0" applyFont="1" applyBorder="1" applyAlignment="1">
      <alignment horizontal="center"/>
    </xf>
    <xf numFmtId="0" fontId="46" fillId="0" borderId="0" xfId="0" applyFont="1"/>
    <xf numFmtId="0" fontId="0" fillId="0" borderId="15" xfId="0" applyBorder="1" applyAlignment="1">
      <alignment horizontal="center" vertical="center"/>
    </xf>
    <xf numFmtId="9" fontId="0" fillId="0" borderId="6" xfId="0" applyNumberFormat="1" applyBorder="1" applyAlignment="1">
      <alignment horizontal="center" vertical="center"/>
    </xf>
    <xf numFmtId="1" fontId="10" fillId="0" borderId="0" xfId="0" applyNumberFormat="1" applyFont="1"/>
    <xf numFmtId="9" fontId="42" fillId="4" borderId="6" xfId="0" applyNumberFormat="1" applyFont="1" applyFill="1" applyBorder="1" applyAlignment="1">
      <alignment horizontal="center"/>
    </xf>
    <xf numFmtId="9" fontId="43" fillId="12" borderId="6" xfId="0" applyNumberFormat="1" applyFont="1" applyFill="1" applyBorder="1" applyAlignment="1">
      <alignment horizontal="center"/>
    </xf>
    <xf numFmtId="9" fontId="42" fillId="4" borderId="17" xfId="0" applyNumberFormat="1" applyFont="1" applyFill="1" applyBorder="1" applyAlignment="1">
      <alignment horizontal="center"/>
    </xf>
    <xf numFmtId="9" fontId="0" fillId="0" borderId="0" xfId="0" applyNumberFormat="1"/>
    <xf numFmtId="9" fontId="44" fillId="0" borderId="6" xfId="0" applyNumberFormat="1" applyFont="1" applyBorder="1" applyAlignment="1">
      <alignment horizontal="center"/>
    </xf>
    <xf numFmtId="0" fontId="43" fillId="0" borderId="0" xfId="0" applyFont="1" applyAlignment="1">
      <alignment horizontal="center"/>
    </xf>
    <xf numFmtId="0" fontId="10" fillId="8" borderId="6" xfId="0" applyFont="1" applyFill="1" applyBorder="1" applyAlignment="1">
      <alignment vertical="center" wrapText="1"/>
    </xf>
    <xf numFmtId="10" fontId="17" fillId="0" borderId="1" xfId="0" applyNumberFormat="1" applyFont="1" applyBorder="1" applyAlignment="1">
      <alignment horizontal="center" vertical="center" wrapText="1" readingOrder="1"/>
    </xf>
    <xf numFmtId="9" fontId="17" fillId="9" borderId="1" xfId="0" applyNumberFormat="1" applyFont="1" applyFill="1" applyBorder="1" applyAlignment="1">
      <alignment horizontal="center" vertical="center" wrapText="1" readingOrder="1"/>
    </xf>
    <xf numFmtId="0" fontId="17" fillId="9" borderId="1" xfId="0" applyFont="1" applyFill="1" applyBorder="1" applyAlignment="1">
      <alignment horizontal="left" vertical="center" wrapText="1" readingOrder="1"/>
    </xf>
    <xf numFmtId="9" fontId="43" fillId="0" borderId="0" xfId="0" applyNumberFormat="1" applyFont="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left" vertical="center"/>
    </xf>
    <xf numFmtId="1" fontId="0" fillId="0" borderId="6" xfId="0" applyNumberFormat="1" applyBorder="1" applyAlignment="1">
      <alignment horizontal="center" vertical="center"/>
    </xf>
    <xf numFmtId="0" fontId="47" fillId="13" borderId="1" xfId="0" applyFont="1" applyFill="1" applyBorder="1" applyAlignment="1">
      <alignment horizontal="center" vertical="center" wrapText="1"/>
    </xf>
    <xf numFmtId="0" fontId="33" fillId="0" borderId="6" xfId="0" applyFont="1" applyBorder="1" applyAlignment="1">
      <alignment horizontal="center" vertical="center"/>
    </xf>
    <xf numFmtId="0" fontId="48" fillId="0" borderId="5" xfId="0" applyFont="1" applyBorder="1" applyAlignment="1">
      <alignment horizontal="left" vertical="center" wrapText="1" indent="1"/>
    </xf>
    <xf numFmtId="0" fontId="44" fillId="13" borderId="17" xfId="0" applyFont="1" applyFill="1" applyBorder="1" applyAlignment="1">
      <alignment horizontal="center"/>
    </xf>
    <xf numFmtId="0" fontId="33" fillId="0" borderId="6" xfId="0" applyFont="1" applyBorder="1" applyAlignment="1">
      <alignment horizontal="center" vertical="center" wrapText="1"/>
    </xf>
    <xf numFmtId="0" fontId="33" fillId="0" borderId="6" xfId="0" applyFont="1" applyBorder="1" applyAlignment="1">
      <alignment horizontal="center"/>
    </xf>
    <xf numFmtId="0" fontId="44" fillId="0" borderId="6" xfId="0" applyFont="1" applyBorder="1" applyAlignment="1">
      <alignment horizontal="center" vertical="center"/>
    </xf>
    <xf numFmtId="0" fontId="44" fillId="0" borderId="6" xfId="0" applyFont="1" applyBorder="1" applyAlignment="1">
      <alignment horizontal="center" vertical="center" wrapText="1"/>
    </xf>
    <xf numFmtId="1" fontId="33" fillId="0" borderId="6" xfId="0" applyNumberFormat="1" applyFont="1" applyBorder="1" applyAlignment="1">
      <alignment horizontal="center" vertical="center"/>
    </xf>
    <xf numFmtId="0" fontId="44" fillId="0" borderId="0" xfId="0" applyFont="1" applyAlignment="1">
      <alignment horizontal="center"/>
    </xf>
    <xf numFmtId="1" fontId="44" fillId="0" borderId="0" xfId="0" applyNumberFormat="1" applyFont="1" applyAlignment="1">
      <alignment horizontal="center"/>
    </xf>
    <xf numFmtId="0" fontId="48" fillId="0" borderId="19" xfId="0" applyFont="1" applyBorder="1" applyAlignment="1">
      <alignment horizontal="left" vertical="center" wrapText="1" indent="1"/>
    </xf>
    <xf numFmtId="0" fontId="33" fillId="0" borderId="16" xfId="0" applyFont="1" applyBorder="1" applyAlignment="1">
      <alignment horizontal="center" vertical="center"/>
    </xf>
    <xf numFmtId="1" fontId="33" fillId="0" borderId="16" xfId="0" applyNumberFormat="1" applyFont="1" applyBorder="1" applyAlignment="1">
      <alignment horizontal="center" vertical="center"/>
    </xf>
    <xf numFmtId="10" fontId="10" fillId="0" borderId="6" xfId="0" applyNumberFormat="1" applyFont="1" applyBorder="1" applyAlignment="1">
      <alignment horizontal="center" vertical="center"/>
    </xf>
    <xf numFmtId="0" fontId="41" fillId="0" borderId="0" xfId="0" applyFont="1" applyAlignment="1">
      <alignment horizontal="center"/>
    </xf>
    <xf numFmtId="0" fontId="19" fillId="0" borderId="6" xfId="0" applyFont="1" applyBorder="1" applyAlignment="1">
      <alignment horizontal="center"/>
    </xf>
    <xf numFmtId="0" fontId="12" fillId="0" borderId="6" xfId="0" applyFont="1" applyBorder="1" applyAlignment="1">
      <alignment horizontal="left" vertical="center" wrapText="1"/>
    </xf>
    <xf numFmtId="0" fontId="12" fillId="4" borderId="6" xfId="0" applyFont="1" applyFill="1" applyBorder="1" applyAlignment="1">
      <alignment vertical="center"/>
    </xf>
    <xf numFmtId="0" fontId="49" fillId="4" borderId="6" xfId="0" applyFont="1" applyFill="1" applyBorder="1" applyAlignment="1">
      <alignment vertical="center"/>
    </xf>
    <xf numFmtId="0" fontId="12" fillId="4" borderId="6" xfId="0" applyFont="1" applyFill="1" applyBorder="1" applyAlignment="1">
      <alignment vertical="center" wrapText="1"/>
    </xf>
    <xf numFmtId="0" fontId="12" fillId="4" borderId="6" xfId="0" applyFont="1" applyFill="1" applyBorder="1" applyAlignment="1">
      <alignment horizontal="left" vertical="center"/>
    </xf>
    <xf numFmtId="0" fontId="12" fillId="0" borderId="6" xfId="0" applyFont="1" applyBorder="1" applyAlignment="1">
      <alignment horizontal="center" vertical="center" wrapText="1"/>
    </xf>
    <xf numFmtId="0" fontId="36" fillId="0" borderId="6" xfId="0" applyFont="1" applyBorder="1" applyAlignment="1">
      <alignment horizontal="center" vertical="center" wrapText="1" readingOrder="1"/>
    </xf>
    <xf numFmtId="165" fontId="19" fillId="0" borderId="6" xfId="0" applyNumberFormat="1" applyFont="1" applyBorder="1" applyAlignment="1">
      <alignment horizontal="center" vertical="center" wrapText="1"/>
    </xf>
    <xf numFmtId="164" fontId="36" fillId="0" borderId="6" xfId="1" applyFont="1" applyFill="1" applyBorder="1" applyAlignment="1">
      <alignment horizontal="center" vertical="center" wrapText="1" readingOrder="1"/>
    </xf>
    <xf numFmtId="164" fontId="19" fillId="0" borderId="6" xfId="1" applyFont="1" applyFill="1" applyBorder="1" applyAlignment="1">
      <alignment vertical="center" wrapText="1"/>
    </xf>
    <xf numFmtId="9" fontId="19" fillId="0" borderId="6" xfId="0" applyNumberFormat="1" applyFont="1" applyBorder="1"/>
    <xf numFmtId="0" fontId="19" fillId="0" borderId="6" xfId="0" applyFont="1" applyBorder="1"/>
    <xf numFmtId="0" fontId="19" fillId="0" borderId="0" xfId="0" applyFont="1"/>
    <xf numFmtId="9" fontId="40" fillId="0" borderId="6" xfId="0" applyNumberFormat="1" applyFont="1" applyBorder="1" applyAlignment="1">
      <alignment horizontal="center" vertical="center" wrapText="1" readingOrder="1"/>
    </xf>
    <xf numFmtId="0" fontId="0" fillId="0" borderId="6" xfId="0" applyBorder="1" applyAlignment="1">
      <alignment horizontal="center" wrapText="1"/>
    </xf>
    <xf numFmtId="0" fontId="0" fillId="0" borderId="0" xfId="0" applyAlignment="1">
      <alignment horizontal="center"/>
    </xf>
    <xf numFmtId="0" fontId="45" fillId="0" borderId="6"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6" xfId="0" applyFont="1" applyBorder="1" applyAlignment="1">
      <alignment horizontal="center" wrapText="1"/>
    </xf>
    <xf numFmtId="0" fontId="46" fillId="0" borderId="6" xfId="0" applyFont="1" applyBorder="1" applyAlignment="1">
      <alignment horizontal="center"/>
    </xf>
    <xf numFmtId="0" fontId="45" fillId="0" borderId="5" xfId="0" applyFont="1" applyBorder="1" applyAlignment="1">
      <alignment horizontal="left" vertical="center" wrapText="1"/>
    </xf>
    <xf numFmtId="0" fontId="0" fillId="0" borderId="0" xfId="0" applyAlignment="1">
      <alignment horizontal="left"/>
    </xf>
    <xf numFmtId="0" fontId="44" fillId="0" borderId="17" xfId="0" applyFont="1" applyBorder="1" applyAlignment="1">
      <alignment horizontal="center"/>
    </xf>
    <xf numFmtId="0" fontId="50" fillId="0" borderId="0" xfId="0" applyFont="1" applyAlignment="1">
      <alignment wrapText="1"/>
    </xf>
    <xf numFmtId="0" fontId="50" fillId="0" borderId="0" xfId="0" applyFont="1"/>
    <xf numFmtId="0" fontId="52" fillId="0" borderId="6" xfId="0" applyFont="1" applyBorder="1" applyAlignment="1">
      <alignment vertical="center" wrapText="1"/>
    </xf>
    <xf numFmtId="0" fontId="51" fillId="0" borderId="0" xfId="0" applyFont="1"/>
    <xf numFmtId="0" fontId="53" fillId="0" borderId="6" xfId="0" applyFont="1" applyBorder="1" applyAlignment="1">
      <alignment horizontal="center"/>
    </xf>
    <xf numFmtId="0" fontId="53" fillId="0" borderId="6" xfId="0" applyFont="1" applyBorder="1" applyAlignment="1">
      <alignment wrapText="1"/>
    </xf>
    <xf numFmtId="0" fontId="51" fillId="0" borderId="0" xfId="0" applyFont="1" applyAlignment="1">
      <alignment wrapText="1"/>
    </xf>
    <xf numFmtId="0" fontId="55" fillId="0" borderId="0" xfId="0" applyFont="1"/>
    <xf numFmtId="0" fontId="56" fillId="0" borderId="0" xfId="0" applyFont="1"/>
    <xf numFmtId="0" fontId="55" fillId="0" borderId="0" xfId="0" applyFont="1" applyAlignment="1">
      <alignment vertical="center" wrapText="1"/>
    </xf>
    <xf numFmtId="9" fontId="10" fillId="0" borderId="13" xfId="0" applyNumberFormat="1" applyFont="1" applyBorder="1" applyAlignment="1">
      <alignment horizontal="center" vertical="center"/>
    </xf>
    <xf numFmtId="9" fontId="17" fillId="0" borderId="15" xfId="0" applyNumberFormat="1" applyFont="1" applyBorder="1" applyAlignment="1">
      <alignment horizontal="center" vertical="center" wrapText="1" readingOrder="1"/>
    </xf>
    <xf numFmtId="0" fontId="17" fillId="4" borderId="4" xfId="0" applyFont="1" applyFill="1" applyBorder="1" applyAlignment="1">
      <alignment horizontal="center" vertical="center" wrapText="1" readingOrder="1"/>
    </xf>
    <xf numFmtId="9" fontId="44" fillId="0" borderId="13" xfId="0" applyNumberFormat="1" applyFont="1" applyBorder="1" applyAlignment="1">
      <alignment horizontal="center"/>
    </xf>
    <xf numFmtId="0" fontId="10" fillId="0" borderId="6" xfId="0" applyFont="1" applyBorder="1" applyAlignment="1">
      <alignment vertical="center" wrapText="1"/>
    </xf>
    <xf numFmtId="0" fontId="10" fillId="0" borderId="6" xfId="0" applyFont="1" applyBorder="1" applyAlignment="1">
      <alignment horizontal="left" vertical="center" wrapText="1"/>
    </xf>
    <xf numFmtId="0" fontId="24" fillId="0" borderId="1" xfId="0" applyFont="1" applyBorder="1" applyAlignment="1">
      <alignment horizontal="left" vertical="center" wrapText="1" readingOrder="1"/>
    </xf>
    <xf numFmtId="9" fontId="17" fillId="9" borderId="4" xfId="0" applyNumberFormat="1" applyFont="1" applyFill="1" applyBorder="1" applyAlignment="1">
      <alignment horizontal="center" vertical="center" wrapText="1" readingOrder="1"/>
    </xf>
    <xf numFmtId="0" fontId="10" fillId="8" borderId="4" xfId="0" applyFont="1" applyFill="1" applyBorder="1" applyAlignment="1">
      <alignment horizontal="left" vertical="center" wrapText="1"/>
    </xf>
    <xf numFmtId="0" fontId="24" fillId="4" borderId="1" xfId="0" applyFont="1" applyFill="1" applyBorder="1" applyAlignment="1">
      <alignment horizontal="left" vertical="top" wrapText="1" readingOrder="1"/>
    </xf>
    <xf numFmtId="9" fontId="57" fillId="0" borderId="0" xfId="0" applyNumberFormat="1" applyFont="1" applyAlignment="1">
      <alignment horizontal="center"/>
    </xf>
    <xf numFmtId="0" fontId="10" fillId="0" borderId="0" xfId="0" applyFont="1" applyAlignment="1">
      <alignment horizontal="left" wrapText="1"/>
    </xf>
    <xf numFmtId="0" fontId="17" fillId="0" borderId="16" xfId="0" applyFont="1" applyBorder="1" applyAlignment="1">
      <alignment horizontal="center" vertical="center" wrapText="1" readingOrder="1"/>
    </xf>
    <xf numFmtId="0" fontId="45" fillId="0" borderId="6" xfId="0" applyFont="1" applyBorder="1" applyAlignment="1">
      <alignment horizontal="left" vertical="center" wrapText="1"/>
    </xf>
    <xf numFmtId="0" fontId="42" fillId="0" borderId="0" xfId="0" applyFont="1"/>
    <xf numFmtId="9" fontId="42" fillId="0" borderId="0" xfId="0" applyNumberFormat="1" applyFont="1" applyAlignment="1">
      <alignment horizontal="center"/>
    </xf>
    <xf numFmtId="9" fontId="42" fillId="0" borderId="0" xfId="0" applyNumberFormat="1" applyFont="1"/>
    <xf numFmtId="9" fontId="43" fillId="0" borderId="0" xfId="0" applyNumberFormat="1" applyFont="1" applyAlignment="1">
      <alignment horizontal="center"/>
    </xf>
    <xf numFmtId="9" fontId="43" fillId="0" borderId="0" xfId="0" applyNumberFormat="1" applyFont="1"/>
    <xf numFmtId="9" fontId="0" fillId="9" borderId="6" xfId="0" applyNumberFormat="1" applyFill="1" applyBorder="1" applyAlignment="1">
      <alignment horizontal="center" vertical="center"/>
    </xf>
    <xf numFmtId="0" fontId="24" fillId="4" borderId="6" xfId="0" applyFont="1" applyFill="1" applyBorder="1" applyAlignment="1">
      <alignment horizontal="center" vertical="center" wrapText="1" readingOrder="1"/>
    </xf>
    <xf numFmtId="0" fontId="17" fillId="9" borderId="4" xfId="0" applyFont="1" applyFill="1" applyBorder="1" applyAlignment="1">
      <alignment horizontal="center" vertical="center" wrapText="1" readingOrder="1"/>
    </xf>
    <xf numFmtId="0" fontId="32" fillId="0" borderId="6" xfId="0" applyFont="1" applyBorder="1" applyAlignment="1">
      <alignment vertical="center" wrapText="1"/>
    </xf>
    <xf numFmtId="0" fontId="32" fillId="0" borderId="6" xfId="0" applyFont="1" applyBorder="1" applyAlignment="1">
      <alignment horizontal="left" vertical="center" wrapText="1"/>
    </xf>
    <xf numFmtId="0" fontId="10" fillId="9" borderId="6" xfId="0" applyFont="1" applyFill="1" applyBorder="1" applyAlignment="1">
      <alignment wrapText="1"/>
    </xf>
    <xf numFmtId="0" fontId="50" fillId="0" borderId="10" xfId="0" applyFont="1" applyBorder="1" applyAlignment="1">
      <alignment wrapText="1"/>
    </xf>
    <xf numFmtId="0" fontId="17" fillId="4" borderId="1" xfId="0" applyFont="1" applyFill="1" applyBorder="1" applyAlignment="1">
      <alignment horizontal="center" vertical="top" wrapText="1" readingOrder="1"/>
    </xf>
    <xf numFmtId="9" fontId="17" fillId="4" borderId="4" xfId="0" applyNumberFormat="1" applyFont="1" applyFill="1" applyBorder="1" applyAlignment="1">
      <alignment horizontal="center" vertical="center" wrapText="1" readingOrder="1"/>
    </xf>
    <xf numFmtId="9" fontId="42" fillId="4" borderId="6" xfId="0" applyNumberFormat="1" applyFont="1" applyFill="1" applyBorder="1"/>
    <xf numFmtId="0" fontId="44" fillId="0" borderId="6" xfId="0" applyFont="1" applyBorder="1" applyAlignment="1">
      <alignment horizontal="center" wrapText="1"/>
    </xf>
    <xf numFmtId="0" fontId="33" fillId="0" borderId="10" xfId="0" applyFont="1" applyBorder="1" applyAlignment="1">
      <alignment horizontal="center" vertical="center" wrapText="1"/>
    </xf>
    <xf numFmtId="0" fontId="58" fillId="0" borderId="0" xfId="0" applyFont="1" applyAlignment="1">
      <alignment vertical="top" wrapText="1"/>
    </xf>
    <xf numFmtId="0" fontId="17" fillId="0" borderId="6" xfId="0" applyFont="1" applyBorder="1" applyAlignment="1">
      <alignment horizontal="center" vertical="top" wrapText="1" readingOrder="1"/>
    </xf>
    <xf numFmtId="9" fontId="42" fillId="4" borderId="13" xfId="0" applyNumberFormat="1" applyFont="1" applyFill="1" applyBorder="1"/>
    <xf numFmtId="10" fontId="24" fillId="0" borderId="1" xfId="0" applyNumberFormat="1" applyFont="1" applyBorder="1" applyAlignment="1">
      <alignment horizontal="center" vertical="center" wrapText="1" readingOrder="1"/>
    </xf>
    <xf numFmtId="9" fontId="24" fillId="0" borderId="4" xfId="0" applyNumberFormat="1" applyFont="1" applyBorder="1" applyAlignment="1">
      <alignment horizontal="center" vertical="center" wrapText="1" readingOrder="1"/>
    </xf>
    <xf numFmtId="0" fontId="24" fillId="0" borderId="4" xfId="0" applyFont="1" applyBorder="1" applyAlignment="1">
      <alignment horizontal="center" vertical="center" wrapText="1" readingOrder="1"/>
    </xf>
    <xf numFmtId="0" fontId="24" fillId="4" borderId="1" xfId="0" applyFont="1" applyFill="1" applyBorder="1" applyAlignment="1">
      <alignment horizontal="center" vertical="center" wrapText="1" readingOrder="1"/>
    </xf>
    <xf numFmtId="9" fontId="42" fillId="4" borderId="0" xfId="0" applyNumberFormat="1" applyFont="1" applyFill="1"/>
    <xf numFmtId="0" fontId="25" fillId="4" borderId="6" xfId="0" applyFont="1" applyFill="1" applyBorder="1" applyAlignment="1">
      <alignment vertical="center" wrapText="1"/>
    </xf>
    <xf numFmtId="0" fontId="13" fillId="4" borderId="6" xfId="0" applyFont="1" applyFill="1" applyBorder="1" applyAlignment="1">
      <alignment vertical="center" wrapText="1"/>
    </xf>
    <xf numFmtId="0" fontId="11" fillId="4" borderId="6" xfId="0" applyFont="1" applyFill="1" applyBorder="1" applyAlignment="1">
      <alignment horizontal="left" vertical="center" wrapText="1"/>
    </xf>
    <xf numFmtId="9" fontId="0" fillId="0" borderId="16" xfId="0" applyNumberFormat="1" applyBorder="1" applyAlignment="1">
      <alignment horizontal="center" vertical="center"/>
    </xf>
    <xf numFmtId="10" fontId="10" fillId="0" borderId="0" xfId="0" applyNumberFormat="1" applyFont="1"/>
    <xf numFmtId="167" fontId="10" fillId="0" borderId="0" xfId="0" applyNumberFormat="1" applyFont="1"/>
    <xf numFmtId="1" fontId="10" fillId="0" borderId="0" xfId="0" applyNumberFormat="1" applyFont="1" applyAlignment="1">
      <alignment vertical="center"/>
    </xf>
    <xf numFmtId="9" fontId="44" fillId="0" borderId="0" xfId="0" applyNumberFormat="1" applyFont="1" applyAlignment="1">
      <alignment horizontal="center"/>
    </xf>
    <xf numFmtId="166" fontId="43" fillId="11" borderId="6" xfId="0" applyNumberFormat="1" applyFont="1" applyFill="1" applyBorder="1" applyAlignment="1">
      <alignment horizontal="center"/>
    </xf>
    <xf numFmtId="166" fontId="43" fillId="11" borderId="6" xfId="0" applyNumberFormat="1" applyFont="1" applyFill="1" applyBorder="1"/>
    <xf numFmtId="166" fontId="43" fillId="11" borderId="13" xfId="0" applyNumberFormat="1" applyFont="1" applyFill="1" applyBorder="1"/>
    <xf numFmtId="9" fontId="59" fillId="0" borderId="0" xfId="0" applyNumberFormat="1" applyFont="1"/>
    <xf numFmtId="168" fontId="10" fillId="0" borderId="0" xfId="0" applyNumberFormat="1" applyFont="1"/>
    <xf numFmtId="0" fontId="15" fillId="3" borderId="0" xfId="3" applyFont="1" applyFill="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wrapText="1"/>
    </xf>
    <xf numFmtId="0" fontId="16" fillId="3" borderId="1" xfId="0" applyFont="1" applyFill="1" applyBorder="1" applyAlignment="1">
      <alignment horizontal="center" vertical="center"/>
    </xf>
    <xf numFmtId="0" fontId="12" fillId="2" borderId="1" xfId="3" applyFont="1" applyFill="1" applyBorder="1" applyAlignment="1">
      <alignment horizontal="center" vertical="center" wrapText="1"/>
    </xf>
    <xf numFmtId="0" fontId="29" fillId="3" borderId="0" xfId="3" applyFont="1" applyFill="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9" fillId="2" borderId="4"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9" fillId="2" borderId="1" xfId="3"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9" fillId="2" borderId="2" xfId="0" applyFont="1" applyFill="1" applyBorder="1" applyAlignment="1">
      <alignment horizontal="center" vertical="center"/>
    </xf>
    <xf numFmtId="0" fontId="12" fillId="2" borderId="12" xfId="0" applyFont="1" applyFill="1" applyBorder="1" applyAlignment="1">
      <alignment horizontal="center" vertical="center" wrapText="1"/>
    </xf>
    <xf numFmtId="0" fontId="16" fillId="3" borderId="2" xfId="0" applyFont="1" applyFill="1" applyBorder="1" applyAlignment="1">
      <alignment horizontal="center" vertical="center"/>
    </xf>
    <xf numFmtId="0" fontId="12" fillId="2" borderId="2" xfId="3" applyFont="1" applyFill="1" applyBorder="1" applyAlignment="1">
      <alignment horizontal="center" vertical="center" wrapText="1"/>
    </xf>
    <xf numFmtId="0" fontId="12" fillId="2" borderId="6" xfId="0" applyFont="1" applyFill="1" applyBorder="1" applyAlignment="1">
      <alignment horizontal="center" vertical="center" wrapText="1"/>
    </xf>
    <xf numFmtId="0" fontId="19"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6" fillId="3" borderId="6" xfId="0" applyFont="1" applyFill="1" applyBorder="1" applyAlignment="1">
      <alignment horizontal="center" vertical="center"/>
    </xf>
    <xf numFmtId="0" fontId="12" fillId="2" borderId="6" xfId="3" applyFont="1" applyFill="1" applyBorder="1" applyAlignment="1">
      <alignment horizontal="center" vertical="center" wrapText="1"/>
    </xf>
    <xf numFmtId="0" fontId="10" fillId="0" borderId="11" xfId="0" applyFont="1" applyBorder="1" applyAlignment="1">
      <alignment horizontal="center"/>
    </xf>
    <xf numFmtId="0" fontId="8" fillId="2" borderId="1" xfId="0" applyFont="1" applyFill="1" applyBorder="1" applyAlignment="1">
      <alignment horizontal="center" vertical="center" wrapText="1"/>
    </xf>
    <xf numFmtId="0" fontId="43" fillId="0" borderId="0" xfId="0" applyFont="1" applyAlignment="1">
      <alignment horizontal="center"/>
    </xf>
    <xf numFmtId="0" fontId="44" fillId="0" borderId="13" xfId="0" applyFont="1" applyBorder="1" applyAlignment="1">
      <alignment horizontal="center"/>
    </xf>
    <xf numFmtId="0" fontId="44" fillId="0" borderId="15" xfId="0" applyFont="1" applyBorder="1" applyAlignment="1">
      <alignment horizontal="center"/>
    </xf>
    <xf numFmtId="0" fontId="53" fillId="0" borderId="17" xfId="0" applyFont="1" applyBorder="1" applyAlignment="1">
      <alignment vertical="center" wrapText="1"/>
    </xf>
    <xf numFmtId="0" fontId="53" fillId="0" borderId="20" xfId="0" applyFont="1" applyBorder="1" applyAlignment="1">
      <alignment vertical="center" wrapText="1"/>
    </xf>
    <xf numFmtId="0" fontId="53" fillId="0" borderId="16" xfId="0" applyFont="1" applyBorder="1" applyAlignment="1">
      <alignment vertical="center" wrapText="1"/>
    </xf>
    <xf numFmtId="0" fontId="53" fillId="0" borderId="21" xfId="0" applyFont="1" applyBorder="1" applyAlignment="1">
      <alignment horizontal="center" vertical="center" wrapText="1" indent="1"/>
    </xf>
    <xf numFmtId="0" fontId="53" fillId="0" borderId="22" xfId="0" applyFont="1" applyBorder="1" applyAlignment="1">
      <alignment horizontal="center" vertical="center" wrapText="1" indent="1"/>
    </xf>
    <xf numFmtId="0" fontId="53" fillId="0" borderId="23" xfId="0" applyFont="1" applyBorder="1" applyAlignment="1">
      <alignment horizontal="center" vertical="center" wrapText="1" indent="1"/>
    </xf>
    <xf numFmtId="0" fontId="48" fillId="0" borderId="21" xfId="0" applyFont="1" applyBorder="1" applyAlignment="1">
      <alignment horizontal="center" vertical="center" indent="1"/>
    </xf>
    <xf numFmtId="0" fontId="48" fillId="0" borderId="22" xfId="0" applyFont="1" applyBorder="1" applyAlignment="1">
      <alignment horizontal="center" vertical="center" indent="1"/>
    </xf>
    <xf numFmtId="0" fontId="48" fillId="0" borderId="23" xfId="0" applyFont="1" applyBorder="1" applyAlignment="1">
      <alignment horizontal="center" vertical="center" indent="1"/>
    </xf>
  </cellXfs>
  <cellStyles count="4">
    <cellStyle name="Moneda [0]" xfId="1" builtinId="7"/>
    <cellStyle name="Normal" xfId="0" builtinId="0"/>
    <cellStyle name="Normal 2" xfId="3" xr:uid="{00000000-0005-0000-0000-000002000000}"/>
    <cellStyle name="Porcentaje" xfId="2" builtinId="5"/>
  </cellStyles>
  <dxfs count="0"/>
  <tableStyles count="0" defaultTableStyle="TableStyleMedium2" defaultPivotStyle="PivotStyleLight16"/>
  <colors>
    <mruColors>
      <color rgb="FF99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r>
              <a:rPr lang="en-US"/>
              <a:t>Cumplimiento Metas Plan de Acción 2023</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'Cumplimiento por trimestre'!$I$2:$M$2</c:f>
              <c:strCache>
                <c:ptCount val="5"/>
                <c:pt idx="0">
                  <c:v>1º SEMESTRE</c:v>
                </c:pt>
                <c:pt idx="1">
                  <c:v>2º TRIMESTRE</c:v>
                </c:pt>
                <c:pt idx="2">
                  <c:v>3º TRIMESTRE</c:v>
                </c:pt>
                <c:pt idx="3">
                  <c:v>4° TRIMESTRE</c:v>
                </c:pt>
                <c:pt idx="4">
                  <c:v>ACUMULADO</c:v>
                </c:pt>
              </c:strCache>
            </c:strRef>
          </c:cat>
          <c:val>
            <c:numRef>
              <c:f>'Cumplimiento por trimestre'!$I$3:$M$3</c:f>
              <c:numCache>
                <c:formatCode>0%</c:formatCode>
                <c:ptCount val="5"/>
                <c:pt idx="0">
                  <c:v>0.21411764705882352</c:v>
                </c:pt>
                <c:pt idx="1">
                  <c:v>0.22058823529411761</c:v>
                </c:pt>
                <c:pt idx="2">
                  <c:v>0.2096670868347339</c:v>
                </c:pt>
                <c:pt idx="3">
                  <c:v>0.20188183806251606</c:v>
                </c:pt>
                <c:pt idx="4">
                  <c:v>0.84625480725019109</c:v>
                </c:pt>
              </c:numCache>
            </c:numRef>
          </c:val>
          <c:extLst>
            <c:ext xmlns:c16="http://schemas.microsoft.com/office/drawing/2014/chart" uri="{C3380CC4-5D6E-409C-BE32-E72D297353CC}">
              <c16:uniqueId val="{00000007-9AD8-49D7-81C3-5F1E879B8C41}"/>
            </c:ext>
          </c:extLst>
        </c:ser>
        <c:dLbls>
          <c:showLegendKey val="0"/>
          <c:showVal val="0"/>
          <c:showCatName val="0"/>
          <c:showSerName val="0"/>
          <c:showPercent val="0"/>
          <c:showBubbleSize val="0"/>
        </c:dLbls>
        <c:gapWidth val="219"/>
        <c:overlap val="-27"/>
        <c:axId val="183598152"/>
        <c:axId val="183610152"/>
      </c:barChart>
      <c:catAx>
        <c:axId val="183598152"/>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83610152"/>
        <c:crosses val="autoZero"/>
        <c:auto val="1"/>
        <c:lblAlgn val="ctr"/>
        <c:lblOffset val="100"/>
        <c:noMultiLvlLbl val="0"/>
      </c:catAx>
      <c:valAx>
        <c:axId val="183610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598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1" i="0" u="none" strike="noStrike" kern="1200" baseline="0">
                <a:solidFill>
                  <a:srgbClr val="000000"/>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r>
              <a:rPr lang="en-US"/>
              <a:t>% DE CUMPLIMIENTO PLAN DE GESTIÓN ESTRATÉGICO 1º SEMESTRE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endParaRPr lang="en-US"/>
        </a:p>
      </c:txPr>
    </c:title>
    <c:autoTitleDeleted val="0"/>
    <c:plotArea>
      <c:layout/>
      <c:barChart>
        <c:barDir val="bar"/>
        <c:grouping val="clustered"/>
        <c:varyColors val="0"/>
        <c:ser>
          <c:idx val="0"/>
          <c:order val="0"/>
          <c:tx>
            <c:strRef>
              <c:f>'Cumplimiento PGE'!$H$5</c:f>
              <c:strCache>
                <c:ptCount val="1"/>
                <c:pt idx="0">
                  <c:v>% DE CUMPLIMIENTO
 1º SEMESTRE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 PGE'!$G$6:$G$16</c:f>
              <c:strCache>
                <c:ptCount val="11"/>
                <c:pt idx="0">
                  <c:v>1. Incrementar el nivel de satisfacción de los usuarios.</c:v>
                </c:pt>
                <c:pt idx="1">
                  <c:v>2. Posicionar la gestión empresarial con prácticas de transparencia.</c:v>
                </c:pt>
                <c:pt idx="2">
                  <c:v>3. Incrementar los ingresos operacionales.</c:v>
                </c:pt>
                <c:pt idx="3">
                  <c:v>4. Lograr eficiencia en la gestión empresarial.</c:v>
                </c:pt>
                <c:pt idx="4">
                  <c:v>5. Promover prácticas sostenibles con el medio ambiente.</c:v>
                </c:pt>
                <c:pt idx="5">
                  <c:v>6. Suminstrar el servicio de acueducto con altos estándares de prestación.</c:v>
                </c:pt>
                <c:pt idx="6">
                  <c:v>7. Suministrar el servicio de alcantarillado con altos estándares de prestación.</c:v>
                </c:pt>
                <c:pt idx="7">
                  <c:v>8. Suministrar el servicio de aseo con altos estándares de prestación.</c:v>
                </c:pt>
                <c:pt idx="8">
                  <c:v>9. Fortalecer las competencias del personal.</c:v>
                </c:pt>
                <c:pt idx="9">
                  <c:v>10. Mejorar el clima y la cultura organizacional.</c:v>
                </c:pt>
                <c:pt idx="10">
                  <c:v>11. Implementar el uso de TIC y herramientas de gestión empresarial.</c:v>
                </c:pt>
              </c:strCache>
            </c:strRef>
          </c:cat>
          <c:val>
            <c:numRef>
              <c:f>'Cumplimiento PGE'!$H$6:$H$16</c:f>
              <c:numCache>
                <c:formatCode>0%</c:formatCode>
                <c:ptCount val="11"/>
                <c:pt idx="0">
                  <c:v>0.4642857142857143</c:v>
                </c:pt>
                <c:pt idx="1">
                  <c:v>0.36249999999999999</c:v>
                </c:pt>
                <c:pt idx="2">
                  <c:v>0.5</c:v>
                </c:pt>
                <c:pt idx="3">
                  <c:v>0.43703703703703706</c:v>
                </c:pt>
                <c:pt idx="4">
                  <c:v>0.35928571428571437</c:v>
                </c:pt>
                <c:pt idx="5">
                  <c:v>0.33374999999999999</c:v>
                </c:pt>
                <c:pt idx="6">
                  <c:v>0</c:v>
                </c:pt>
                <c:pt idx="7">
                  <c:v>0.5</c:v>
                </c:pt>
                <c:pt idx="8">
                  <c:v>0.30333333333333329</c:v>
                </c:pt>
                <c:pt idx="9">
                  <c:v>0.24000000000000002</c:v>
                </c:pt>
                <c:pt idx="10">
                  <c:v>0.5</c:v>
                </c:pt>
              </c:numCache>
            </c:numRef>
          </c:val>
          <c:extLst>
            <c:ext xmlns:c16="http://schemas.microsoft.com/office/drawing/2014/chart" uri="{C3380CC4-5D6E-409C-BE32-E72D297353CC}">
              <c16:uniqueId val="{00000001-2915-41B7-BFEA-4DF7207CD1A9}"/>
            </c:ext>
          </c:extLst>
        </c:ser>
        <c:dLbls>
          <c:dLblPos val="outEnd"/>
          <c:showLegendKey val="0"/>
          <c:showVal val="1"/>
          <c:showCatName val="0"/>
          <c:showSerName val="0"/>
          <c:showPercent val="0"/>
          <c:showBubbleSize val="0"/>
        </c:dLbls>
        <c:gapWidth val="219"/>
        <c:axId val="1524546456"/>
        <c:axId val="1524550424"/>
      </c:barChart>
      <c:catAx>
        <c:axId val="1524546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00000"/>
                </a:solidFill>
                <a:latin typeface="+mn-lt"/>
                <a:ea typeface="+mn-ea"/>
                <a:cs typeface="+mn-cs"/>
              </a:defRPr>
            </a:pPr>
            <a:endParaRPr lang="en-US"/>
          </a:p>
        </c:txPr>
        <c:crossAx val="1524550424"/>
        <c:crosses val="autoZero"/>
        <c:auto val="1"/>
        <c:lblAlgn val="ctr"/>
        <c:lblOffset val="100"/>
        <c:noMultiLvlLbl val="0"/>
      </c:catAx>
      <c:valAx>
        <c:axId val="15245504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4546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PROMEDIO CUMPLIMIENTO PGE 2023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'Cumplimiento PGE'!$T$5</c:f>
              <c:strCache>
                <c:ptCount val="1"/>
                <c:pt idx="0">
                  <c:v>PROMEDIO CUMPLIMIENTO </c:v>
                </c:pt>
              </c:strCache>
            </c:strRef>
          </c:tx>
          <c:spPr>
            <a:solidFill>
              <a:schemeClr val="accent1"/>
            </a:solidFill>
            <a:ln>
              <a:noFill/>
            </a:ln>
            <a:effectLst/>
          </c:spPr>
          <c:invertIfNegative val="0"/>
          <c:cat>
            <c:strRef>
              <c:f>'Cumplimiento PGE'!$S$6:$S$16</c:f>
              <c:strCache>
                <c:ptCount val="11"/>
                <c:pt idx="0">
                  <c:v>1. Incrementar el nivel de satisfacción de los usuarios.</c:v>
                </c:pt>
                <c:pt idx="1">
                  <c:v>2. Posicionar la gestión empresarial con prácticas de transparencia.</c:v>
                </c:pt>
                <c:pt idx="2">
                  <c:v>3. Incrementar los ingresos operacionales.</c:v>
                </c:pt>
                <c:pt idx="3">
                  <c:v>4. Lograr eficiencia en la gestión empresarial.</c:v>
                </c:pt>
                <c:pt idx="4">
                  <c:v>5. Promover prácticas sostenibles con el medio ambiente.</c:v>
                </c:pt>
                <c:pt idx="5">
                  <c:v>6. SuminIstrar el servicio de acueducto con altos estándares de prestación.</c:v>
                </c:pt>
                <c:pt idx="6">
                  <c:v>7. Suministrar el servicio de alcantarillado con altos estándares de prestación.</c:v>
                </c:pt>
                <c:pt idx="7">
                  <c:v>8. Suministrar el servicio de aseo con altos estándares de prestación.</c:v>
                </c:pt>
                <c:pt idx="8">
                  <c:v>9. Fortalecer las competencias del personal.</c:v>
                </c:pt>
                <c:pt idx="9">
                  <c:v>10. Mejorar el clima y la cultura organizacional.</c:v>
                </c:pt>
                <c:pt idx="10">
                  <c:v>11. Implementar el uso de TIC y herramientas de gestión empresarial.</c:v>
                </c:pt>
              </c:strCache>
            </c:strRef>
          </c:cat>
          <c:val>
            <c:numRef>
              <c:f>'Cumplimiento PGE'!$T$6:$T$16</c:f>
              <c:numCache>
                <c:formatCode>0%</c:formatCode>
                <c:ptCount val="11"/>
                <c:pt idx="0">
                  <c:v>0.9642857142857143</c:v>
                </c:pt>
                <c:pt idx="1">
                  <c:v>0.82916666666666661</c:v>
                </c:pt>
                <c:pt idx="2">
                  <c:v>1</c:v>
                </c:pt>
                <c:pt idx="3">
                  <c:v>0.86011396011396013</c:v>
                </c:pt>
                <c:pt idx="4">
                  <c:v>0.77678571428571441</c:v>
                </c:pt>
                <c:pt idx="5">
                  <c:v>0.66375000000000006</c:v>
                </c:pt>
                <c:pt idx="6">
                  <c:v>0</c:v>
                </c:pt>
                <c:pt idx="7">
                  <c:v>1</c:v>
                </c:pt>
                <c:pt idx="8">
                  <c:v>0.66999999999999993</c:v>
                </c:pt>
                <c:pt idx="9">
                  <c:v>0.72</c:v>
                </c:pt>
                <c:pt idx="10">
                  <c:v>1</c:v>
                </c:pt>
              </c:numCache>
            </c:numRef>
          </c:val>
          <c:extLst>
            <c:ext xmlns:c16="http://schemas.microsoft.com/office/drawing/2014/chart" uri="{C3380CC4-5D6E-409C-BE32-E72D297353CC}">
              <c16:uniqueId val="{00000001-67DC-484D-8C4C-F4F1BD620DC9}"/>
            </c:ext>
          </c:extLst>
        </c:ser>
        <c:dLbls>
          <c:showLegendKey val="0"/>
          <c:showVal val="0"/>
          <c:showCatName val="0"/>
          <c:showSerName val="0"/>
          <c:showPercent val="0"/>
          <c:showBubbleSize val="0"/>
        </c:dLbls>
        <c:gapWidth val="182"/>
        <c:axId val="172910599"/>
        <c:axId val="172912647"/>
      </c:barChart>
      <c:catAx>
        <c:axId val="1729105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12647"/>
        <c:crosses val="autoZero"/>
        <c:auto val="1"/>
        <c:lblAlgn val="ctr"/>
        <c:lblOffset val="100"/>
        <c:noMultiLvlLbl val="0"/>
      </c:catAx>
      <c:valAx>
        <c:axId val="17291264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105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r>
              <a:rPr lang="en-US"/>
              <a:t>TOTAL ACCIONES POR POLÍTICA 2023</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endParaRPr lang="en-US"/>
        </a:p>
      </c:txPr>
    </c:title>
    <c:autoTitleDeleted val="0"/>
    <c:plotArea>
      <c:layout/>
      <c:barChart>
        <c:barDir val="bar"/>
        <c:grouping val="clustered"/>
        <c:varyColors val="0"/>
        <c:ser>
          <c:idx val="0"/>
          <c:order val="0"/>
          <c:tx>
            <c:strRef>
              <c:f>'Cumplimiento Políticas MIPG'!$D$27</c:f>
              <c:strCache>
                <c:ptCount val="1"/>
                <c:pt idx="0">
                  <c:v>TOTAL ACCIONES</c:v>
                </c:pt>
              </c:strCache>
            </c:strRef>
          </c:tx>
          <c:spPr>
            <a:solidFill>
              <a:schemeClr val="accent1"/>
            </a:solidFill>
            <a:ln>
              <a:noFill/>
            </a:ln>
            <a:effectLst/>
          </c:spPr>
          <c:invertIfNegative val="0"/>
          <c:cat>
            <c:strRef>
              <c:f>'Cumplimiento Políticas MIPG'!$C$28:$C$45</c:f>
              <c:strCache>
                <c:ptCount val="18"/>
                <c:pt idx="0">
                  <c:v>1. Planeación Institucional</c:v>
                </c:pt>
                <c:pt idx="1">
                  <c:v>2. Gestión presupuestal y eficiencia del gasto público</c:v>
                </c:pt>
                <c:pt idx="2">
                  <c:v>3. Talento humano</c:v>
                </c:pt>
                <c:pt idx="3">
                  <c:v>4. Integridad</c:v>
                </c:pt>
                <c:pt idx="4">
                  <c:v>5. Transparencia, acceso a la información pública y lucha contra la corrupción</c:v>
                </c:pt>
                <c:pt idx="5">
                  <c:v>6. Fortalecimiento organizacional y simplificación de procesos</c:v>
                </c:pt>
                <c:pt idx="6">
                  <c:v>7. Servicio al ciudadano</c:v>
                </c:pt>
                <c:pt idx="7">
                  <c:v>8. Participación ciudadana en la gestión pública</c:v>
                </c:pt>
                <c:pt idx="8">
                  <c:v>9. Racionalización de trámites</c:v>
                </c:pt>
                <c:pt idx="9">
                  <c:v>10. Gobierno digital</c:v>
                </c:pt>
                <c:pt idx="10">
                  <c:v>11. Seguridad digital</c:v>
                </c:pt>
                <c:pt idx="11">
                  <c:v>12. Defensa jurídica</c:v>
                </c:pt>
                <c:pt idx="12">
                  <c:v>13. Mejora normativa</c:v>
                </c:pt>
                <c:pt idx="13">
                  <c:v>14. Gestión del conocimiento y la innovación</c:v>
                </c:pt>
                <c:pt idx="14">
                  <c:v>15. Gestión documental</c:v>
                </c:pt>
                <c:pt idx="15">
                  <c:v>16. Gestión de la información estadística</c:v>
                </c:pt>
                <c:pt idx="16">
                  <c:v>17. Seguimiento y evaluación del desempeño institucional</c:v>
                </c:pt>
                <c:pt idx="17">
                  <c:v>18. Control interno</c:v>
                </c:pt>
              </c:strCache>
            </c:strRef>
          </c:cat>
          <c:val>
            <c:numRef>
              <c:f>'Cumplimiento Políticas MIPG'!$D$28:$D$45</c:f>
              <c:numCache>
                <c:formatCode>General</c:formatCode>
                <c:ptCount val="18"/>
                <c:pt idx="0">
                  <c:v>6</c:v>
                </c:pt>
                <c:pt idx="1">
                  <c:v>14</c:v>
                </c:pt>
                <c:pt idx="2">
                  <c:v>9</c:v>
                </c:pt>
                <c:pt idx="3">
                  <c:v>1</c:v>
                </c:pt>
                <c:pt idx="4">
                  <c:v>8</c:v>
                </c:pt>
                <c:pt idx="5">
                  <c:v>10</c:v>
                </c:pt>
                <c:pt idx="6">
                  <c:v>8</c:v>
                </c:pt>
                <c:pt idx="7">
                  <c:v>4</c:v>
                </c:pt>
                <c:pt idx="8">
                  <c:v>0</c:v>
                </c:pt>
                <c:pt idx="9">
                  <c:v>1</c:v>
                </c:pt>
                <c:pt idx="10">
                  <c:v>2</c:v>
                </c:pt>
                <c:pt idx="11">
                  <c:v>4</c:v>
                </c:pt>
                <c:pt idx="12">
                  <c:v>0</c:v>
                </c:pt>
                <c:pt idx="13">
                  <c:v>2</c:v>
                </c:pt>
                <c:pt idx="14">
                  <c:v>4</c:v>
                </c:pt>
                <c:pt idx="15">
                  <c:v>0</c:v>
                </c:pt>
                <c:pt idx="16">
                  <c:v>9</c:v>
                </c:pt>
                <c:pt idx="17">
                  <c:v>1</c:v>
                </c:pt>
              </c:numCache>
            </c:numRef>
          </c:val>
          <c:extLst>
            <c:ext xmlns:c16="http://schemas.microsoft.com/office/drawing/2014/chart" uri="{C3380CC4-5D6E-409C-BE32-E72D297353CC}">
              <c16:uniqueId val="{00000001-1604-420B-A02F-240F68225D6D}"/>
            </c:ext>
          </c:extLst>
        </c:ser>
        <c:dLbls>
          <c:showLegendKey val="0"/>
          <c:showVal val="0"/>
          <c:showCatName val="0"/>
          <c:showSerName val="0"/>
          <c:showPercent val="0"/>
          <c:showBubbleSize val="0"/>
        </c:dLbls>
        <c:gapWidth val="219"/>
        <c:axId val="852754440"/>
        <c:axId val="852756488"/>
      </c:barChart>
      <c:catAx>
        <c:axId val="852754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852756488"/>
        <c:crosses val="autoZero"/>
        <c:auto val="1"/>
        <c:lblAlgn val="ctr"/>
        <c:lblOffset val="100"/>
        <c:noMultiLvlLbl val="0"/>
      </c:catAx>
      <c:valAx>
        <c:axId val="852756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2754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476250</xdr:colOff>
      <xdr:row>4</xdr:row>
      <xdr:rowOff>85725</xdr:rowOff>
    </xdr:from>
    <xdr:to>
      <xdr:col>16</xdr:col>
      <xdr:colOff>142875</xdr:colOff>
      <xdr:row>15</xdr:row>
      <xdr:rowOff>209550</xdr:rowOff>
    </xdr:to>
    <xdr:graphicFrame macro="">
      <xdr:nvGraphicFramePr>
        <xdr:cNvPr id="5" name="Gráfico 4">
          <a:extLst>
            <a:ext uri="{FF2B5EF4-FFF2-40B4-BE49-F238E27FC236}">
              <a16:creationId xmlns:a16="http://schemas.microsoft.com/office/drawing/2014/main" id="{FB70D9AB-0E55-2901-5AF2-D7C520DEA649}"/>
            </a:ext>
            <a:ext uri="{147F2762-F138-4A5C-976F-8EAC2B608ADB}">
              <a16:predDERef xmlns:a16="http://schemas.microsoft.com/office/drawing/2014/main" pred="{D4231C2A-4C25-0343-B4A4-513C1C9E9B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714375</xdr:colOff>
      <xdr:row>18</xdr:row>
      <xdr:rowOff>180975</xdr:rowOff>
    </xdr:from>
    <xdr:to>
      <xdr:col>7</xdr:col>
      <xdr:colOff>95250</xdr:colOff>
      <xdr:row>37</xdr:row>
      <xdr:rowOff>47625</xdr:rowOff>
    </xdr:to>
    <xdr:graphicFrame macro="">
      <xdr:nvGraphicFramePr>
        <xdr:cNvPr id="3" name="Gráfico 2">
          <a:extLst>
            <a:ext uri="{FF2B5EF4-FFF2-40B4-BE49-F238E27FC236}">
              <a16:creationId xmlns:a16="http://schemas.microsoft.com/office/drawing/2014/main" id="{C9A1160D-8DB0-A8FC-4422-727DF312FB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581025</xdr:colOff>
      <xdr:row>6</xdr:row>
      <xdr:rowOff>876300</xdr:rowOff>
    </xdr:from>
    <xdr:to>
      <xdr:col>29</xdr:col>
      <xdr:colOff>276225</xdr:colOff>
      <xdr:row>8</xdr:row>
      <xdr:rowOff>1390650</xdr:rowOff>
    </xdr:to>
    <xdr:graphicFrame macro="">
      <xdr:nvGraphicFramePr>
        <xdr:cNvPr id="4" name="Gráfico 3">
          <a:extLst>
            <a:ext uri="{FF2B5EF4-FFF2-40B4-BE49-F238E27FC236}">
              <a16:creationId xmlns:a16="http://schemas.microsoft.com/office/drawing/2014/main" id="{524D8540-03E1-4F72-DF98-2FA833684B75}"/>
            </a:ext>
            <a:ext uri="{147F2762-F138-4A5C-976F-8EAC2B608ADB}">
              <a16:predDERef xmlns:a16="http://schemas.microsoft.com/office/drawing/2014/main" pred="{C9A1160D-8DB0-A8FC-4422-727DF312FB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895350</xdr:colOff>
      <xdr:row>26</xdr:row>
      <xdr:rowOff>161925</xdr:rowOff>
    </xdr:from>
    <xdr:to>
      <xdr:col>14</xdr:col>
      <xdr:colOff>38100</xdr:colOff>
      <xdr:row>46</xdr:row>
      <xdr:rowOff>38100</xdr:rowOff>
    </xdr:to>
    <xdr:graphicFrame macro="">
      <xdr:nvGraphicFramePr>
        <xdr:cNvPr id="2" name="Gráfico 2">
          <a:extLst>
            <a:ext uri="{FF2B5EF4-FFF2-40B4-BE49-F238E27FC236}">
              <a16:creationId xmlns:a16="http://schemas.microsoft.com/office/drawing/2014/main" id="{283B123E-78C7-9335-0272-C811A0003B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uxplaneacion" id="{29AB2980-A6F8-48CC-AB82-44C5BA32244E}" userId="S::auxplaneacion@espacacias.com::2cc2b254-1220-49ed-9875-482c3cefe94d" providerId="AD"/>
  <person displayName="Usuario invitado" id="{F14C9D28-96C9-440D-B65E-9DC290BF7D2D}" userId="S::urn:spo:anon#f04b66146ebdc6bbfcdace034986bb921bd6d1e859a2ea12b5aa02f310fc2bc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6" dT="2023-05-03T16:05:21.10" personId="{F14C9D28-96C9-440D-B65E-9DC290BF7D2D}" id="{D71E650E-48C2-4760-B6FB-24526469AF02}">
    <text xml:space="preserve">programadas 10 al año </text>
  </threadedComment>
  <threadedComment ref="K7" dT="2023-05-03T16:05:53.04" personId="{F14C9D28-96C9-440D-B65E-9DC290BF7D2D}" id="{064CFB75-3E3E-4438-906C-43C94642823E}">
    <text xml:space="preserve">Programadas 10 al año </text>
  </threadedComment>
</ThreadedComments>
</file>

<file path=xl/threadedComments/threadedComment2.xml><?xml version="1.0" encoding="utf-8"?>
<ThreadedComments xmlns="http://schemas.microsoft.com/office/spreadsheetml/2018/threadedcomments" xmlns:x="http://schemas.openxmlformats.org/spreadsheetml/2006/main">
  <threadedComment ref="Y3" dT="2023-01-19T15:42:46.61" personId="{29AB2980-A6F8-48CC-AB82-44C5BA32244E}" id="{98F1C1D5-7346-450C-8773-C9938EF0006B}">
    <text>Ingrese el presupuesto Ejecutado</text>
  </threadedComment>
</ThreadedComments>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3.bin"/><Relationship Id="rId4" Type="http://schemas.microsoft.com/office/2017/10/relationships/threadedComment" Target="../threadedComments/threadedComment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8BD7-D032-4490-9FB3-5406E83DE700}">
  <dimension ref="A1:AA1048304"/>
  <sheetViews>
    <sheetView topLeftCell="G1" zoomScale="130" zoomScaleNormal="130" workbookViewId="0">
      <selection activeCell="T6" sqref="T6"/>
    </sheetView>
  </sheetViews>
  <sheetFormatPr defaultColWidth="11.42578125" defaultRowHeight="12.75"/>
  <cols>
    <col min="1" max="1" width="11.42578125" style="7"/>
    <col min="2" max="2" width="23.5703125" style="7" customWidth="1"/>
    <col min="3" max="3" width="22.28515625" style="7" customWidth="1"/>
    <col min="4" max="4" width="30.28515625" style="7" bestFit="1" customWidth="1"/>
    <col min="5" max="5" width="63.85546875" style="36" bestFit="1"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0" width="11.42578125" style="7" customWidth="1"/>
    <col min="21" max="21" width="15.285156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ht="10.5">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84.75">
      <c r="A6" s="47">
        <v>1</v>
      </c>
      <c r="B6" s="73" t="s">
        <v>32</v>
      </c>
      <c r="C6" s="11" t="s">
        <v>33</v>
      </c>
      <c r="D6" s="37" t="s">
        <v>34</v>
      </c>
      <c r="E6" s="34" t="s">
        <v>35</v>
      </c>
      <c r="F6" s="37" t="s">
        <v>36</v>
      </c>
      <c r="G6" s="41" t="s">
        <v>37</v>
      </c>
      <c r="H6" s="30"/>
      <c r="I6" s="30" t="s">
        <v>38</v>
      </c>
      <c r="J6" s="12" t="s">
        <v>39</v>
      </c>
      <c r="K6" s="43">
        <v>0.25</v>
      </c>
      <c r="L6" s="13" t="s">
        <v>40</v>
      </c>
      <c r="M6" s="43">
        <v>0.25</v>
      </c>
      <c r="N6" s="13" t="s">
        <v>40</v>
      </c>
      <c r="O6" s="43">
        <v>0.25</v>
      </c>
      <c r="P6" s="13" t="s">
        <v>40</v>
      </c>
      <c r="Q6" s="43">
        <v>0.25</v>
      </c>
      <c r="R6" s="13" t="s">
        <v>40</v>
      </c>
      <c r="S6" s="14" t="s">
        <v>41</v>
      </c>
      <c r="T6" s="14" t="s">
        <v>42</v>
      </c>
      <c r="U6" s="15">
        <v>24047362608</v>
      </c>
      <c r="V6" s="15"/>
      <c r="W6" s="16"/>
      <c r="X6" s="16">
        <f t="shared" ref="X6" si="0">SUM(U6+V6+W6)</f>
        <v>24047362608</v>
      </c>
      <c r="Y6" s="165">
        <f>SUM(K6+M6+O6+Q6)</f>
        <v>1</v>
      </c>
      <c r="Z6" s="166">
        <f>+Y6*0.6</f>
        <v>0.6</v>
      </c>
      <c r="AA6" s="167" t="s">
        <v>43</v>
      </c>
    </row>
    <row r="7" spans="1:27" ht="19.5">
      <c r="K7" s="193">
        <f>K6</f>
        <v>0.25</v>
      </c>
      <c r="L7" s="193"/>
      <c r="M7" s="193">
        <f t="shared" ref="L7:R7" si="1">M6</f>
        <v>0.25</v>
      </c>
      <c r="N7" s="193"/>
      <c r="O7" s="193">
        <f t="shared" si="1"/>
        <v>0.25</v>
      </c>
      <c r="P7" s="193"/>
      <c r="Q7" s="193">
        <f t="shared" si="1"/>
        <v>0.25</v>
      </c>
      <c r="R7" s="193"/>
      <c r="Y7" s="170">
        <f>Y6</f>
        <v>1</v>
      </c>
    </row>
    <row r="1048304"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B6C184AF-E88B-45B3-BDC2-1F4732EF4C7A}">
          <x14:formula1>
            <xm:f>'Hoja Formulación'!$B$6:$B$8</xm:f>
          </x14:formula1>
          <xm:sqref>D4:D6</xm:sqref>
        </x14:dataValidation>
        <x14:dataValidation type="list" allowBlank="1" showInputMessage="1" showErrorMessage="1" xr:uid="{E8B59E95-C68F-4305-9050-D1D151E220C9}">
          <x14:formula1>
            <xm:f>'Hoja Formulación'!$C$6:$C$16</xm:f>
          </x14:formula1>
          <xm:sqref>E4:E5</xm:sqref>
        </x14:dataValidation>
        <x14:dataValidation type="list" allowBlank="1" showInputMessage="1" showErrorMessage="1" xr:uid="{1E162CFD-8DDB-4A37-B7E0-EE416F554E07}">
          <x14:formula1>
            <xm:f>'Hoja Formulación'!$D$6:$D$23</xm:f>
          </x14:formula1>
          <xm:sqref>F6</xm:sqref>
        </x14:dataValidation>
        <x14:dataValidation type="list" allowBlank="1" showInputMessage="1" showErrorMessage="1" xr:uid="{2E8F82D8-C361-440A-981C-9975A567D527}">
          <x14:formula1>
            <xm:f>'Hoja Formulación'!$E$6:$E$16</xm:f>
          </x14:formula1>
          <xm:sqref>G6</xm:sqref>
        </x14:dataValidation>
        <x14:dataValidation type="list" allowBlank="1" showInputMessage="1" showErrorMessage="1" xr:uid="{3E821AB5-3344-4A41-9F8E-1F50B04C9BE0}">
          <x14:formula1>
            <xm:f>'Hoja Formulación'!$C$6:$C$17</xm:f>
          </x14:formula1>
          <xm:sqref>E6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048309"/>
  <sheetViews>
    <sheetView topLeftCell="I9" zoomScale="130" zoomScaleNormal="130" workbookViewId="0">
      <selection activeCell="V20" sqref="V20"/>
    </sheetView>
  </sheetViews>
  <sheetFormatPr defaultColWidth="11.42578125" defaultRowHeight="10.5"/>
  <cols>
    <col min="1" max="2" width="11.42578125" style="7"/>
    <col min="3" max="3" width="22.28515625" style="7" customWidth="1"/>
    <col min="4" max="4" width="30.28515625" style="7" bestFit="1" customWidth="1"/>
    <col min="5" max="5" width="6.7109375" style="36" bestFit="1" customWidth="1"/>
    <col min="6" max="6" width="38" style="7" bestFit="1" customWidth="1"/>
    <col min="7" max="7" width="33.42578125" style="42" bestFit="1" customWidth="1"/>
    <col min="8" max="9" width="11.42578125" style="7" customWidth="1"/>
    <col min="10" max="10" width="14" style="7" customWidth="1"/>
    <col min="11" max="11" width="11.42578125" style="7" customWidth="1"/>
    <col min="12" max="12" width="18.5703125" style="7" customWidth="1"/>
    <col min="13" max="13" width="11.42578125" style="7" customWidth="1"/>
    <col min="14" max="14" width="19.28515625" style="7"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48"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28"/>
      <c r="C5" s="346"/>
      <c r="D5" s="344"/>
      <c r="E5" s="344"/>
      <c r="F5" s="329"/>
      <c r="G5" s="102" t="s">
        <v>27</v>
      </c>
      <c r="H5" s="101" t="s">
        <v>28</v>
      </c>
      <c r="I5" s="101" t="s">
        <v>29</v>
      </c>
      <c r="J5" s="347"/>
      <c r="K5" s="129" t="s">
        <v>30</v>
      </c>
      <c r="L5" s="161" t="s">
        <v>31</v>
      </c>
      <c r="M5" s="101" t="s">
        <v>30</v>
      </c>
      <c r="N5" s="101" t="s">
        <v>31</v>
      </c>
      <c r="O5" s="101" t="s">
        <v>30</v>
      </c>
      <c r="P5" s="101" t="s">
        <v>31</v>
      </c>
      <c r="Q5" s="101" t="s">
        <v>30</v>
      </c>
      <c r="R5" s="101" t="s">
        <v>31</v>
      </c>
      <c r="S5" s="349"/>
      <c r="T5" s="349"/>
      <c r="U5" s="349"/>
      <c r="V5" s="349"/>
      <c r="W5" s="328"/>
      <c r="X5" s="328"/>
      <c r="Y5" s="328"/>
      <c r="Z5" s="328"/>
      <c r="AA5" s="328"/>
    </row>
    <row r="6" spans="1:27" ht="114" customHeight="1">
      <c r="A6" s="114">
        <v>1</v>
      </c>
      <c r="B6" s="149" t="s">
        <v>276</v>
      </c>
      <c r="C6" s="116" t="s">
        <v>277</v>
      </c>
      <c r="D6" s="117" t="s">
        <v>123</v>
      </c>
      <c r="E6" s="118" t="s">
        <v>46</v>
      </c>
      <c r="F6" s="117" t="s">
        <v>278</v>
      </c>
      <c r="G6" s="119" t="s">
        <v>48</v>
      </c>
      <c r="H6" s="120" t="s">
        <v>38</v>
      </c>
      <c r="I6" s="120"/>
      <c r="J6" s="160" t="s">
        <v>279</v>
      </c>
      <c r="K6" s="159">
        <v>0.25</v>
      </c>
      <c r="L6" s="162" t="s">
        <v>280</v>
      </c>
      <c r="M6" s="159">
        <v>0.25</v>
      </c>
      <c r="N6" s="162" t="s">
        <v>280</v>
      </c>
      <c r="O6" s="159">
        <v>0.25</v>
      </c>
      <c r="P6" s="162" t="s">
        <v>280</v>
      </c>
      <c r="Q6" s="159">
        <v>0.25</v>
      </c>
      <c r="R6" s="162" t="s">
        <v>280</v>
      </c>
      <c r="S6" s="124"/>
      <c r="T6" s="124"/>
      <c r="U6" s="125"/>
      <c r="V6" s="125"/>
      <c r="W6" s="126"/>
      <c r="X6" s="126">
        <f t="shared" ref="X6:X10" si="0">SUM(U6+V6+W6)</f>
        <v>0</v>
      </c>
      <c r="Y6" s="239">
        <f>SUM(K6+M6+O6+Q6)</f>
        <v>1</v>
      </c>
      <c r="Z6" s="57"/>
      <c r="AA6" s="57"/>
    </row>
    <row r="7" spans="1:27" ht="190.5" customHeight="1">
      <c r="A7" s="114">
        <v>2</v>
      </c>
      <c r="B7" s="216" t="s">
        <v>281</v>
      </c>
      <c r="C7" s="116" t="s">
        <v>277</v>
      </c>
      <c r="D7" s="117" t="s">
        <v>123</v>
      </c>
      <c r="E7" s="118" t="s">
        <v>46</v>
      </c>
      <c r="F7" s="127" t="s">
        <v>278</v>
      </c>
      <c r="G7" s="119" t="s">
        <v>48</v>
      </c>
      <c r="H7" s="120" t="s">
        <v>38</v>
      </c>
      <c r="I7" s="120"/>
      <c r="J7" s="160" t="s">
        <v>279</v>
      </c>
      <c r="K7" s="159">
        <v>0.25</v>
      </c>
      <c r="L7" s="162" t="s">
        <v>282</v>
      </c>
      <c r="M7" s="122">
        <v>0.25</v>
      </c>
      <c r="N7" s="123" t="s">
        <v>283</v>
      </c>
      <c r="O7" s="159">
        <v>0.25</v>
      </c>
      <c r="P7" s="123" t="s">
        <v>284</v>
      </c>
      <c r="Q7" s="122">
        <v>0.25</v>
      </c>
      <c r="R7" s="123" t="s">
        <v>285</v>
      </c>
      <c r="S7" s="124"/>
      <c r="T7" s="124"/>
      <c r="U7" s="125"/>
      <c r="V7" s="125"/>
      <c r="W7" s="126"/>
      <c r="X7" s="126">
        <f t="shared" si="0"/>
        <v>0</v>
      </c>
      <c r="Y7" s="159">
        <f t="shared" ref="Y7:Y9" si="1">SUM(K7+M7+O7+Q7)</f>
        <v>1</v>
      </c>
      <c r="Z7" s="57"/>
      <c r="AA7" s="57"/>
    </row>
    <row r="8" spans="1:27" ht="409.6">
      <c r="A8" s="114">
        <v>3</v>
      </c>
      <c r="B8" s="149" t="s">
        <v>286</v>
      </c>
      <c r="C8" s="116" t="s">
        <v>277</v>
      </c>
      <c r="D8" s="117" t="s">
        <v>123</v>
      </c>
      <c r="E8" s="118" t="s">
        <v>46</v>
      </c>
      <c r="F8" s="127" t="s">
        <v>278</v>
      </c>
      <c r="G8" s="119" t="s">
        <v>253</v>
      </c>
      <c r="H8" s="120" t="s">
        <v>38</v>
      </c>
      <c r="I8" s="120"/>
      <c r="J8" s="160" t="s">
        <v>279</v>
      </c>
      <c r="K8" s="159">
        <v>0.25</v>
      </c>
      <c r="L8" s="162" t="s">
        <v>287</v>
      </c>
      <c r="M8" s="159">
        <v>0.25</v>
      </c>
      <c r="N8" s="123" t="s">
        <v>288</v>
      </c>
      <c r="O8" s="159">
        <v>0.25</v>
      </c>
      <c r="P8" s="274" t="s">
        <v>289</v>
      </c>
      <c r="Q8" s="122">
        <v>0.25</v>
      </c>
      <c r="R8" s="123" t="s">
        <v>290</v>
      </c>
      <c r="S8" s="124"/>
      <c r="T8" s="124"/>
      <c r="U8" s="125"/>
      <c r="V8" s="125"/>
      <c r="W8" s="126"/>
      <c r="X8" s="126">
        <f t="shared" si="0"/>
        <v>0</v>
      </c>
      <c r="Y8" s="158">
        <f t="shared" si="1"/>
        <v>1</v>
      </c>
      <c r="Z8" s="57"/>
      <c r="AA8" s="57"/>
    </row>
    <row r="9" spans="1:27" ht="409.6">
      <c r="A9" s="114">
        <v>4</v>
      </c>
      <c r="B9" s="149" t="s">
        <v>291</v>
      </c>
      <c r="C9" s="116" t="s">
        <v>277</v>
      </c>
      <c r="D9" s="117" t="s">
        <v>123</v>
      </c>
      <c r="E9" s="118" t="s">
        <v>46</v>
      </c>
      <c r="F9" s="127" t="s">
        <v>278</v>
      </c>
      <c r="G9" s="119" t="s">
        <v>73</v>
      </c>
      <c r="H9" s="120" t="s">
        <v>38</v>
      </c>
      <c r="I9" s="120"/>
      <c r="J9" s="160" t="s">
        <v>279</v>
      </c>
      <c r="K9" s="159">
        <v>0.25</v>
      </c>
      <c r="L9" s="162" t="s">
        <v>292</v>
      </c>
      <c r="M9" s="159">
        <v>0.25</v>
      </c>
      <c r="N9" s="123" t="s">
        <v>293</v>
      </c>
      <c r="O9" s="275">
        <v>0.25</v>
      </c>
      <c r="P9" s="123" t="s">
        <v>294</v>
      </c>
      <c r="Q9" s="276">
        <v>0.25</v>
      </c>
      <c r="R9" s="123" t="s">
        <v>295</v>
      </c>
      <c r="S9" s="124"/>
      <c r="T9" s="124"/>
      <c r="U9" s="125"/>
      <c r="V9" s="125"/>
      <c r="W9" s="126"/>
      <c r="X9" s="126">
        <f t="shared" si="0"/>
        <v>0</v>
      </c>
      <c r="Y9" s="158">
        <f t="shared" si="1"/>
        <v>1</v>
      </c>
      <c r="Z9" s="57"/>
      <c r="AA9" s="57"/>
    </row>
    <row r="10" spans="1:27" ht="36.75" customHeight="1">
      <c r="A10" s="114">
        <v>5</v>
      </c>
      <c r="B10" s="114"/>
      <c r="C10" s="128"/>
      <c r="D10" s="117"/>
      <c r="E10" s="118"/>
      <c r="F10" s="127"/>
      <c r="G10" s="119"/>
      <c r="H10" s="120"/>
      <c r="I10" s="120"/>
      <c r="J10" s="121"/>
      <c r="K10" s="163"/>
      <c r="L10" s="123"/>
      <c r="M10" s="122"/>
      <c r="N10" s="123"/>
      <c r="O10" s="122"/>
      <c r="P10" s="272"/>
      <c r="Q10" s="122"/>
      <c r="R10" s="123"/>
      <c r="S10" s="124"/>
      <c r="T10" s="124"/>
      <c r="U10" s="125"/>
      <c r="V10" s="125"/>
      <c r="W10" s="126"/>
      <c r="X10" s="126">
        <f t="shared" si="0"/>
        <v>0</v>
      </c>
      <c r="Y10" s="57">
        <f>SUM(K10+M10+O10+Q10)</f>
        <v>0</v>
      </c>
      <c r="Z10" s="57"/>
      <c r="AA10" s="57"/>
    </row>
    <row r="11" spans="1:27" ht="19.5">
      <c r="K11" s="174">
        <f>SUM(K6:K9)/4</f>
        <v>0.25</v>
      </c>
      <c r="L11" s="174"/>
      <c r="M11" s="174">
        <f t="shared" ref="L11:Y11" si="2">SUM(M6:M9)/4</f>
        <v>0.25</v>
      </c>
      <c r="N11" s="174"/>
      <c r="O11" s="174">
        <f>SUM(O6:O9)/4</f>
        <v>0.25</v>
      </c>
      <c r="P11" s="272"/>
      <c r="Q11" s="174">
        <f t="shared" si="2"/>
        <v>0.25</v>
      </c>
      <c r="R11" s="174"/>
      <c r="S11" s="174"/>
      <c r="T11" s="174"/>
      <c r="U11" s="174"/>
      <c r="V11" s="174"/>
      <c r="W11" s="174"/>
      <c r="X11" s="174"/>
      <c r="Y11" s="174">
        <f t="shared" si="2"/>
        <v>1</v>
      </c>
    </row>
    <row r="12" spans="1:27" ht="12.75">
      <c r="P12" s="272"/>
    </row>
    <row r="13" spans="1:27" ht="12.75">
      <c r="P13" s="272"/>
    </row>
    <row r="14" spans="1:27" ht="12.75">
      <c r="P14" s="272"/>
    </row>
    <row r="15" spans="1:27" ht="12.75">
      <c r="P15" s="272"/>
    </row>
    <row r="16" spans="1:27" ht="12.75">
      <c r="P16" s="272"/>
    </row>
    <row r="17" spans="16:16" ht="12.75">
      <c r="P17" s="272"/>
    </row>
    <row r="18" spans="16:16" ht="15">
      <c r="P18" s="273" t="s">
        <v>296</v>
      </c>
    </row>
    <row r="19" spans="16:16" ht="12.75"/>
    <row r="20" spans="16:16" ht="12.75"/>
    <row r="21" spans="16:16" ht="12.75"/>
    <row r="1048309"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'Hoja Formulación'!$B$6:$B$8</xm:f>
          </x14:formula1>
          <xm:sqref>D4:D10</xm:sqref>
        </x14:dataValidation>
        <x14:dataValidation type="list" allowBlank="1" showInputMessage="1" showErrorMessage="1" xr:uid="{00000000-0002-0000-0800-000001000000}">
          <x14:formula1>
            <xm:f>'Hoja Formulación'!$C$6:$C$16</xm:f>
          </x14:formula1>
          <xm:sqref>E4:E5</xm:sqref>
        </x14:dataValidation>
        <x14:dataValidation type="list" allowBlank="1" showInputMessage="1" showErrorMessage="1" xr:uid="{00000000-0002-0000-0800-000002000000}">
          <x14:formula1>
            <xm:f>'Hoja Formulación'!$D$6:$D$23</xm:f>
          </x14:formula1>
          <xm:sqref>F6:F10</xm:sqref>
        </x14:dataValidation>
        <x14:dataValidation type="list" allowBlank="1" showInputMessage="1" showErrorMessage="1" xr:uid="{00000000-0002-0000-0800-000003000000}">
          <x14:formula1>
            <xm:f>'Hoja Formulación'!$E$6:$E$16</xm:f>
          </x14:formula1>
          <xm:sqref>G6:G10</xm:sqref>
        </x14:dataValidation>
        <x14:dataValidation type="list" allowBlank="1" showInputMessage="1" showErrorMessage="1" xr:uid="{00000000-0002-0000-0800-000004000000}">
          <x14:formula1>
            <xm:f>'Hoja Formulación'!$C$6:$C$17</xm:f>
          </x14:formula1>
          <xm:sqref>E6:E10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048310"/>
  <sheetViews>
    <sheetView topLeftCell="F9" zoomScale="130" zoomScaleNormal="130" workbookViewId="0">
      <selection activeCell="P20" sqref="P20"/>
    </sheetView>
  </sheetViews>
  <sheetFormatPr defaultColWidth="11.42578125" defaultRowHeight="10.5"/>
  <cols>
    <col min="1" max="1" width="11.42578125" style="7"/>
    <col min="2" max="2" width="31.5703125" style="7" customWidth="1"/>
    <col min="3" max="3" width="22.28515625" style="7" customWidth="1"/>
    <col min="4" max="4" width="30.28515625" style="7" bestFit="1" customWidth="1"/>
    <col min="5" max="5" width="6.7109375" style="36" bestFit="1"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20.85546875" style="7" customWidth="1"/>
    <col min="13" max="13" width="11.42578125" style="7" customWidth="1"/>
    <col min="14" max="14" width="18.28515625" style="7"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28"/>
      <c r="C5" s="346"/>
      <c r="D5" s="344"/>
      <c r="E5" s="344"/>
      <c r="F5" s="329"/>
      <c r="G5" s="102" t="s">
        <v>27</v>
      </c>
      <c r="H5" s="101" t="s">
        <v>28</v>
      </c>
      <c r="I5" s="101" t="s">
        <v>29</v>
      </c>
      <c r="J5" s="328"/>
      <c r="K5" s="101" t="s">
        <v>30</v>
      </c>
      <c r="L5" s="101" t="s">
        <v>31</v>
      </c>
      <c r="M5" s="101" t="s">
        <v>30</v>
      </c>
      <c r="N5" s="101" t="s">
        <v>31</v>
      </c>
      <c r="O5" s="101" t="s">
        <v>30</v>
      </c>
      <c r="P5" s="101" t="s">
        <v>31</v>
      </c>
      <c r="Q5" s="101" t="s">
        <v>30</v>
      </c>
      <c r="R5" s="101" t="s">
        <v>31</v>
      </c>
      <c r="S5" s="349"/>
      <c r="T5" s="349"/>
      <c r="U5" s="349"/>
      <c r="V5" s="349"/>
      <c r="W5" s="328"/>
      <c r="X5" s="328"/>
      <c r="Y5" s="328"/>
      <c r="Z5" s="328"/>
      <c r="AA5" s="328"/>
    </row>
    <row r="6" spans="1:27" ht="348.75">
      <c r="A6" s="114">
        <v>1</v>
      </c>
      <c r="B6" s="115" t="s">
        <v>297</v>
      </c>
      <c r="C6" s="121" t="s">
        <v>298</v>
      </c>
      <c r="D6" s="117" t="s">
        <v>123</v>
      </c>
      <c r="E6" s="118" t="s">
        <v>46</v>
      </c>
      <c r="F6" s="117" t="s">
        <v>272</v>
      </c>
      <c r="G6" s="119" t="s">
        <v>48</v>
      </c>
      <c r="H6" s="120"/>
      <c r="I6" s="120" t="s">
        <v>38</v>
      </c>
      <c r="J6" s="121" t="s">
        <v>299</v>
      </c>
      <c r="K6" s="122">
        <v>0.25</v>
      </c>
      <c r="L6" s="7" t="s">
        <v>300</v>
      </c>
      <c r="M6" s="122">
        <v>0.25</v>
      </c>
      <c r="N6" s="7" t="s">
        <v>300</v>
      </c>
      <c r="O6" s="122">
        <v>0.25</v>
      </c>
      <c r="P6" s="286" t="s">
        <v>301</v>
      </c>
      <c r="Q6" s="122">
        <v>0.25</v>
      </c>
      <c r="R6" s="306" t="s">
        <v>302</v>
      </c>
      <c r="S6" s="124"/>
      <c r="T6" s="124"/>
      <c r="U6" s="125"/>
      <c r="V6" s="125"/>
      <c r="W6" s="126"/>
      <c r="X6" s="126">
        <f t="shared" ref="X6:X11" si="0">SUM(U6+V6+W6)</f>
        <v>0</v>
      </c>
      <c r="Y6" s="186">
        <f>SUM(K6+M6+O6+Q6)</f>
        <v>1</v>
      </c>
      <c r="Z6" s="57"/>
      <c r="AA6" s="57"/>
    </row>
    <row r="7" spans="1:27" ht="329.25">
      <c r="A7" s="114">
        <v>2</v>
      </c>
      <c r="B7" s="115" t="s">
        <v>303</v>
      </c>
      <c r="C7" s="121" t="s">
        <v>304</v>
      </c>
      <c r="D7" s="117" t="s">
        <v>123</v>
      </c>
      <c r="E7" s="118" t="s">
        <v>46</v>
      </c>
      <c r="F7" s="127" t="s">
        <v>272</v>
      </c>
      <c r="G7" s="119" t="s">
        <v>48</v>
      </c>
      <c r="H7" s="120"/>
      <c r="I7" s="120" t="s">
        <v>38</v>
      </c>
      <c r="J7" s="121" t="s">
        <v>299</v>
      </c>
      <c r="K7" s="122">
        <v>0.25</v>
      </c>
      <c r="L7" s="123" t="s">
        <v>305</v>
      </c>
      <c r="M7" s="122">
        <v>0.25</v>
      </c>
      <c r="N7" s="123" t="s">
        <v>306</v>
      </c>
      <c r="O7" s="122">
        <v>0.25</v>
      </c>
      <c r="P7" s="123" t="s">
        <v>307</v>
      </c>
      <c r="Q7" s="122">
        <v>0.25</v>
      </c>
      <c r="R7" s="307" t="s">
        <v>308</v>
      </c>
      <c r="S7" s="124"/>
      <c r="T7" s="124"/>
      <c r="U7" s="125"/>
      <c r="V7" s="125"/>
      <c r="W7" s="126"/>
      <c r="X7" s="126">
        <f t="shared" si="0"/>
        <v>0</v>
      </c>
      <c r="Y7" s="186">
        <f t="shared" ref="Y7:Y11" si="1">SUM(K7+M7+O7+Q7)</f>
        <v>1</v>
      </c>
      <c r="Z7" s="57"/>
      <c r="AA7" s="57"/>
    </row>
    <row r="8" spans="1:27" ht="211.5">
      <c r="A8" s="114">
        <v>3</v>
      </c>
      <c r="B8" s="115" t="s">
        <v>309</v>
      </c>
      <c r="C8" s="121" t="s">
        <v>310</v>
      </c>
      <c r="D8" s="117" t="s">
        <v>123</v>
      </c>
      <c r="E8" s="118" t="s">
        <v>46</v>
      </c>
      <c r="F8" s="127" t="s">
        <v>272</v>
      </c>
      <c r="G8" s="119" t="s">
        <v>48</v>
      </c>
      <c r="H8" s="120"/>
      <c r="I8" s="120" t="s">
        <v>38</v>
      </c>
      <c r="J8" s="121" t="s">
        <v>299</v>
      </c>
      <c r="K8" s="122">
        <v>0.25</v>
      </c>
      <c r="L8" s="123" t="s">
        <v>311</v>
      </c>
      <c r="M8" s="122">
        <v>0.25</v>
      </c>
      <c r="N8" s="123" t="s">
        <v>312</v>
      </c>
      <c r="O8" s="122">
        <v>0.25</v>
      </c>
      <c r="P8" s="123" t="s">
        <v>313</v>
      </c>
      <c r="Q8" s="122">
        <v>0.25</v>
      </c>
      <c r="R8" s="123" t="s">
        <v>314</v>
      </c>
      <c r="S8" s="124"/>
      <c r="T8" s="124"/>
      <c r="U8" s="125"/>
      <c r="V8" s="125"/>
      <c r="W8" s="126"/>
      <c r="X8" s="126">
        <f t="shared" si="0"/>
        <v>0</v>
      </c>
      <c r="Y8" s="186">
        <f t="shared" si="1"/>
        <v>1</v>
      </c>
      <c r="Z8" s="57"/>
      <c r="AA8" s="57"/>
    </row>
    <row r="9" spans="1:27" ht="222.75">
      <c r="A9" s="114">
        <v>4</v>
      </c>
      <c r="B9" s="115" t="s">
        <v>315</v>
      </c>
      <c r="C9" s="121" t="s">
        <v>316</v>
      </c>
      <c r="D9" s="117" t="s">
        <v>123</v>
      </c>
      <c r="E9" s="118" t="s">
        <v>46</v>
      </c>
      <c r="F9" s="127" t="s">
        <v>272</v>
      </c>
      <c r="G9" s="119" t="s">
        <v>48</v>
      </c>
      <c r="H9" s="120"/>
      <c r="I9" s="120" t="s">
        <v>38</v>
      </c>
      <c r="J9" s="121" t="s">
        <v>299</v>
      </c>
      <c r="K9" s="122">
        <v>0.25</v>
      </c>
      <c r="L9" s="123" t="s">
        <v>317</v>
      </c>
      <c r="M9" s="122">
        <v>0.25</v>
      </c>
      <c r="N9" s="123" t="s">
        <v>318</v>
      </c>
      <c r="O9" s="122">
        <v>0.25</v>
      </c>
      <c r="P9" s="123" t="s">
        <v>319</v>
      </c>
      <c r="Q9" s="122">
        <v>0.25</v>
      </c>
      <c r="R9" s="123" t="s">
        <v>320</v>
      </c>
      <c r="S9" s="124"/>
      <c r="T9" s="124"/>
      <c r="U9" s="125"/>
      <c r="V9" s="125"/>
      <c r="W9" s="126"/>
      <c r="X9" s="126">
        <f t="shared" si="0"/>
        <v>0</v>
      </c>
      <c r="Y9" s="186">
        <f t="shared" si="1"/>
        <v>1</v>
      </c>
      <c r="Z9" s="57"/>
      <c r="AA9" s="57"/>
    </row>
    <row r="10" spans="1:27" ht="170.25">
      <c r="A10" s="114">
        <v>5</v>
      </c>
      <c r="B10" s="115" t="s">
        <v>321</v>
      </c>
      <c r="C10" s="121" t="s">
        <v>322</v>
      </c>
      <c r="D10" s="117" t="s">
        <v>123</v>
      </c>
      <c r="E10" s="118" t="s">
        <v>46</v>
      </c>
      <c r="F10" s="127" t="s">
        <v>272</v>
      </c>
      <c r="G10" s="119" t="s">
        <v>48</v>
      </c>
      <c r="H10" s="120"/>
      <c r="I10" s="120" t="s">
        <v>38</v>
      </c>
      <c r="J10" s="121" t="s">
        <v>299</v>
      </c>
      <c r="K10" s="122">
        <v>0.25</v>
      </c>
      <c r="L10" s="123" t="s">
        <v>323</v>
      </c>
      <c r="M10" s="122">
        <v>0.25</v>
      </c>
      <c r="N10" s="123" t="s">
        <v>324</v>
      </c>
      <c r="O10" s="122">
        <v>0.25</v>
      </c>
      <c r="P10" s="287" t="s">
        <v>325</v>
      </c>
      <c r="Q10" s="122">
        <v>0</v>
      </c>
      <c r="R10" s="123" t="s">
        <v>326</v>
      </c>
      <c r="S10" s="124"/>
      <c r="T10" s="124"/>
      <c r="U10" s="125"/>
      <c r="V10" s="125"/>
      <c r="W10" s="126"/>
      <c r="X10" s="126">
        <f t="shared" si="0"/>
        <v>0</v>
      </c>
      <c r="Y10" s="186">
        <f t="shared" si="1"/>
        <v>0.75</v>
      </c>
      <c r="Z10" s="57"/>
      <c r="AA10" s="57"/>
    </row>
    <row r="11" spans="1:27" s="254" customFormat="1" ht="19.5">
      <c r="A11" s="241">
        <v>6</v>
      </c>
      <c r="B11" s="241"/>
      <c r="C11" s="242"/>
      <c r="D11" s="243"/>
      <c r="E11" s="244"/>
      <c r="F11" s="245"/>
      <c r="G11" s="246"/>
      <c r="H11" s="85"/>
      <c r="I11" s="85"/>
      <c r="J11" s="247"/>
      <c r="K11" s="255">
        <f>SUM(K7:K10)/4</f>
        <v>0.25</v>
      </c>
      <c r="L11" s="255"/>
      <c r="M11" s="255">
        <f t="shared" ref="L11:O11" si="2">SUM(M7:M10)/4</f>
        <v>0.25</v>
      </c>
      <c r="N11" s="255"/>
      <c r="O11" s="255">
        <f t="shared" si="2"/>
        <v>0.25</v>
      </c>
      <c r="P11" s="255"/>
      <c r="Q11" s="255">
        <f>SUM(Q7:Q10)/4</f>
        <v>0.1875</v>
      </c>
      <c r="R11" s="248"/>
      <c r="S11" s="249"/>
      <c r="T11" s="249"/>
      <c r="U11" s="250"/>
      <c r="V11" s="250"/>
      <c r="W11" s="251"/>
      <c r="X11" s="251">
        <f t="shared" si="0"/>
        <v>0</v>
      </c>
      <c r="Y11" s="252">
        <f t="shared" si="1"/>
        <v>0.9375</v>
      </c>
      <c r="Z11" s="253"/>
      <c r="AA11" s="253"/>
    </row>
    <row r="19" spans="16:16">
      <c r="P19" s="7">
        <f>225/5</f>
        <v>45</v>
      </c>
    </row>
    <row r="1048310"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'Hoja Formulación'!$C$6:$C$17</xm:f>
          </x14:formula1>
          <xm:sqref>E6:E11</xm:sqref>
        </x14:dataValidation>
        <x14:dataValidation type="list" allowBlank="1" showInputMessage="1" showErrorMessage="1" xr:uid="{00000000-0002-0000-0900-000001000000}">
          <x14:formula1>
            <xm:f>'Hoja Formulación'!$E$6:$E$16</xm:f>
          </x14:formula1>
          <xm:sqref>G6:G11</xm:sqref>
        </x14:dataValidation>
        <x14:dataValidation type="list" allowBlank="1" showInputMessage="1" showErrorMessage="1" xr:uid="{00000000-0002-0000-0900-000002000000}">
          <x14:formula1>
            <xm:f>'Hoja Formulación'!$D$6:$D$23</xm:f>
          </x14:formula1>
          <xm:sqref>F6:F11</xm:sqref>
        </x14:dataValidation>
        <x14:dataValidation type="list" allowBlank="1" showInputMessage="1" showErrorMessage="1" xr:uid="{00000000-0002-0000-0900-000003000000}">
          <x14:formula1>
            <xm:f>'Hoja Formulación'!$C$6:$C$16</xm:f>
          </x14:formula1>
          <xm:sqref>E4:E5</xm:sqref>
        </x14:dataValidation>
        <x14:dataValidation type="list" allowBlank="1" showInputMessage="1" showErrorMessage="1" xr:uid="{00000000-0002-0000-0900-000004000000}">
          <x14:formula1>
            <xm:f>'Hoja Formulación'!$B$6:$B$8</xm:f>
          </x14:formula1>
          <xm:sqref>D4:D11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C47D-1D65-446B-AFE3-1984A585ADD7}">
  <dimension ref="A1:AA1048282"/>
  <sheetViews>
    <sheetView topLeftCell="F16" zoomScale="130" zoomScaleNormal="130" workbookViewId="0">
      <selection activeCell="N25" sqref="N25"/>
    </sheetView>
  </sheetViews>
  <sheetFormatPr defaultColWidth="11.42578125" defaultRowHeight="12.75"/>
  <cols>
    <col min="1" max="1" width="11.42578125" style="7"/>
    <col min="2" max="2" width="44.28515625" style="7" customWidth="1"/>
    <col min="3" max="3" width="22.28515625" style="7" customWidth="1"/>
    <col min="4" max="4" width="30.28515625" style="7" bestFit="1" customWidth="1"/>
    <col min="5" max="5" width="10" style="36" bestFit="1"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24.7109375" style="7" customWidth="1"/>
    <col min="13" max="13" width="11.42578125" style="7" customWidth="1"/>
    <col min="14" max="14" width="26" style="7"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ht="10.5">
      <c r="C2" s="8"/>
      <c r="D2" s="38"/>
      <c r="E2" s="35"/>
      <c r="F2" s="9"/>
      <c r="G2" s="40"/>
      <c r="H2" s="9"/>
      <c r="I2" s="9"/>
      <c r="J2" s="9"/>
      <c r="K2" s="9"/>
      <c r="L2" s="9"/>
      <c r="M2" s="9"/>
      <c r="N2" s="9"/>
      <c r="O2" s="9"/>
      <c r="P2" s="9"/>
      <c r="Q2" s="9"/>
      <c r="R2" s="9"/>
      <c r="S2" s="9"/>
      <c r="T2" s="9"/>
      <c r="U2" s="9"/>
      <c r="V2" s="9"/>
      <c r="W2" s="9"/>
      <c r="X2" s="9"/>
      <c r="Y2" s="9"/>
      <c r="Z2" s="9"/>
      <c r="AA2" s="9"/>
    </row>
    <row r="3" spans="1:27" ht="21.75" customHeight="1">
      <c r="A3" s="350" t="s">
        <v>1</v>
      </c>
      <c r="B3" s="350" t="s">
        <v>2</v>
      </c>
      <c r="C3" s="351" t="s">
        <v>3</v>
      </c>
      <c r="D3" s="350" t="s">
        <v>4</v>
      </c>
      <c r="E3" s="350"/>
      <c r="F3" s="350"/>
      <c r="G3" s="350"/>
      <c r="H3" s="350"/>
      <c r="I3" s="350"/>
      <c r="J3" s="350" t="s">
        <v>5</v>
      </c>
      <c r="K3" s="350" t="s">
        <v>6</v>
      </c>
      <c r="L3" s="350"/>
      <c r="M3" s="350"/>
      <c r="N3" s="350"/>
      <c r="O3" s="350"/>
      <c r="P3" s="350"/>
      <c r="Q3" s="350"/>
      <c r="R3" s="350"/>
      <c r="S3" s="350" t="s">
        <v>7</v>
      </c>
      <c r="T3" s="350"/>
      <c r="U3" s="350" t="s">
        <v>8</v>
      </c>
      <c r="V3" s="350"/>
      <c r="W3" s="350"/>
      <c r="X3" s="350"/>
      <c r="Y3" s="350" t="s">
        <v>9</v>
      </c>
      <c r="Z3" s="350" t="s">
        <v>10</v>
      </c>
      <c r="AA3" s="350" t="s">
        <v>11</v>
      </c>
    </row>
    <row r="4" spans="1:27" ht="24" customHeight="1">
      <c r="A4" s="350"/>
      <c r="B4" s="350"/>
      <c r="C4" s="351"/>
      <c r="D4" s="352" t="s">
        <v>12</v>
      </c>
      <c r="E4" s="352" t="s">
        <v>13</v>
      </c>
      <c r="F4" s="350" t="s">
        <v>14</v>
      </c>
      <c r="G4" s="130" t="s">
        <v>15</v>
      </c>
      <c r="H4" s="350" t="s">
        <v>16</v>
      </c>
      <c r="I4" s="350"/>
      <c r="J4" s="350"/>
      <c r="K4" s="353" t="s">
        <v>17</v>
      </c>
      <c r="L4" s="353"/>
      <c r="M4" s="353" t="s">
        <v>18</v>
      </c>
      <c r="N4" s="353"/>
      <c r="O4" s="353" t="s">
        <v>19</v>
      </c>
      <c r="P4" s="353"/>
      <c r="Q4" s="353" t="s">
        <v>20</v>
      </c>
      <c r="R4" s="353"/>
      <c r="S4" s="354" t="s">
        <v>21</v>
      </c>
      <c r="T4" s="354" t="s">
        <v>22</v>
      </c>
      <c r="U4" s="354" t="s">
        <v>23</v>
      </c>
      <c r="V4" s="354" t="s">
        <v>24</v>
      </c>
      <c r="W4" s="350" t="s">
        <v>25</v>
      </c>
      <c r="X4" s="350" t="s">
        <v>26</v>
      </c>
      <c r="Y4" s="350"/>
      <c r="Z4" s="350"/>
      <c r="AA4" s="350"/>
    </row>
    <row r="5" spans="1:27" ht="17.25" customHeight="1">
      <c r="A5" s="350"/>
      <c r="B5" s="350"/>
      <c r="C5" s="351"/>
      <c r="D5" s="352"/>
      <c r="E5" s="352"/>
      <c r="F5" s="350"/>
      <c r="G5" s="130" t="s">
        <v>27</v>
      </c>
      <c r="H5" s="129" t="s">
        <v>28</v>
      </c>
      <c r="I5" s="129" t="s">
        <v>29</v>
      </c>
      <c r="J5" s="350"/>
      <c r="K5" s="129" t="s">
        <v>30</v>
      </c>
      <c r="L5" s="129" t="s">
        <v>31</v>
      </c>
      <c r="M5" s="129" t="s">
        <v>30</v>
      </c>
      <c r="N5" s="129" t="s">
        <v>31</v>
      </c>
      <c r="O5" s="129" t="s">
        <v>30</v>
      </c>
      <c r="P5" s="129" t="s">
        <v>31</v>
      </c>
      <c r="Q5" s="129" t="s">
        <v>30</v>
      </c>
      <c r="R5" s="129" t="s">
        <v>31</v>
      </c>
      <c r="S5" s="354"/>
      <c r="T5" s="354"/>
      <c r="U5" s="354"/>
      <c r="V5" s="354"/>
      <c r="W5" s="350"/>
      <c r="X5" s="350"/>
      <c r="Y5" s="350"/>
      <c r="Z5" s="350"/>
      <c r="AA5" s="350"/>
    </row>
    <row r="6" spans="1:27" ht="31.5">
      <c r="A6" s="114">
        <v>1</v>
      </c>
      <c r="B6" s="100" t="s">
        <v>327</v>
      </c>
      <c r="C6" s="128" t="s">
        <v>328</v>
      </c>
      <c r="D6" s="117" t="s">
        <v>71</v>
      </c>
      <c r="E6" s="118" t="s">
        <v>329</v>
      </c>
      <c r="F6" s="117" t="s">
        <v>36</v>
      </c>
      <c r="G6" s="119" t="s">
        <v>73</v>
      </c>
      <c r="H6" s="120" t="s">
        <v>38</v>
      </c>
      <c r="I6" s="120"/>
      <c r="J6" s="121" t="s">
        <v>330</v>
      </c>
      <c r="K6" s="122">
        <v>0.2</v>
      </c>
      <c r="L6" s="123" t="s">
        <v>331</v>
      </c>
      <c r="M6" s="122">
        <v>0.2</v>
      </c>
      <c r="N6" s="123" t="s">
        <v>332</v>
      </c>
      <c r="O6" s="122">
        <v>0.2</v>
      </c>
      <c r="P6" s="123" t="s">
        <v>333</v>
      </c>
      <c r="Q6" s="122">
        <v>0.2</v>
      </c>
      <c r="R6" s="123" t="s">
        <v>333</v>
      </c>
      <c r="S6" s="124"/>
      <c r="T6" s="124"/>
      <c r="U6" s="125"/>
      <c r="V6" s="125"/>
      <c r="W6" s="126"/>
      <c r="X6" s="126">
        <f t="shared" ref="X6:X9" si="0">SUM(U6+V6+W6)</f>
        <v>0</v>
      </c>
      <c r="Y6" s="187">
        <f>SUM(K6+M6+O6+Q6)</f>
        <v>0.8</v>
      </c>
      <c r="Z6" s="57"/>
      <c r="AA6" s="57"/>
    </row>
    <row r="7" spans="1:27" ht="84.75">
      <c r="A7" s="114">
        <v>2</v>
      </c>
      <c r="B7" s="100" t="s">
        <v>334</v>
      </c>
      <c r="C7" s="128" t="s">
        <v>335</v>
      </c>
      <c r="D7" s="117" t="s">
        <v>123</v>
      </c>
      <c r="E7" s="118" t="s">
        <v>329</v>
      </c>
      <c r="F7" s="127" t="s">
        <v>272</v>
      </c>
      <c r="G7" s="119" t="s">
        <v>151</v>
      </c>
      <c r="H7" s="131" t="s">
        <v>38</v>
      </c>
      <c r="I7" s="120"/>
      <c r="J7" s="121" t="s">
        <v>336</v>
      </c>
      <c r="K7" s="122">
        <v>0.25</v>
      </c>
      <c r="L7" s="123" t="s">
        <v>337</v>
      </c>
      <c r="M7" s="122">
        <v>0.25</v>
      </c>
      <c r="N7" s="123" t="s">
        <v>337</v>
      </c>
      <c r="O7" s="122">
        <v>0.25</v>
      </c>
      <c r="P7" s="123" t="s">
        <v>338</v>
      </c>
      <c r="Q7" s="122">
        <v>0.25</v>
      </c>
      <c r="R7" s="123" t="s">
        <v>338</v>
      </c>
      <c r="S7" s="124"/>
      <c r="T7" s="124"/>
      <c r="U7" s="125"/>
      <c r="V7" s="125"/>
      <c r="W7" s="126"/>
      <c r="X7" s="126">
        <f t="shared" si="0"/>
        <v>0</v>
      </c>
      <c r="Y7" s="187">
        <f t="shared" ref="Y7:Y19" si="1">SUM(K7+M7+O7+Q7)</f>
        <v>1</v>
      </c>
      <c r="Z7" s="57"/>
      <c r="AA7" s="299" t="s">
        <v>339</v>
      </c>
    </row>
    <row r="8" spans="1:27" ht="52.5">
      <c r="A8" s="114">
        <v>4</v>
      </c>
      <c r="B8" s="100" t="s">
        <v>340</v>
      </c>
      <c r="C8" s="116" t="s">
        <v>341</v>
      </c>
      <c r="D8" s="117" t="s">
        <v>123</v>
      </c>
      <c r="E8" s="118" t="s">
        <v>329</v>
      </c>
      <c r="F8" s="127" t="s">
        <v>47</v>
      </c>
      <c r="G8" s="119" t="s">
        <v>253</v>
      </c>
      <c r="H8" s="131" t="s">
        <v>38</v>
      </c>
      <c r="I8" s="120"/>
      <c r="J8" s="121" t="s">
        <v>342</v>
      </c>
      <c r="K8" s="122">
        <v>0.1</v>
      </c>
      <c r="L8" s="123" t="s">
        <v>343</v>
      </c>
      <c r="M8" s="122">
        <v>0.1</v>
      </c>
      <c r="N8" s="123" t="s">
        <v>344</v>
      </c>
      <c r="O8" s="122">
        <v>0.1</v>
      </c>
      <c r="P8" s="123" t="s">
        <v>344</v>
      </c>
      <c r="Q8" s="122">
        <v>0.1</v>
      </c>
      <c r="R8" s="123" t="s">
        <v>344</v>
      </c>
      <c r="S8" s="124"/>
      <c r="T8" s="124"/>
      <c r="U8" s="125"/>
      <c r="V8" s="125"/>
      <c r="W8" s="126"/>
      <c r="X8" s="126">
        <f t="shared" si="0"/>
        <v>0</v>
      </c>
      <c r="Y8" s="187">
        <f t="shared" si="1"/>
        <v>0.4</v>
      </c>
      <c r="Z8" s="57"/>
      <c r="AA8" s="57"/>
    </row>
    <row r="9" spans="1:27" ht="52.5">
      <c r="A9" s="114">
        <v>7</v>
      </c>
      <c r="B9" s="100" t="s">
        <v>345</v>
      </c>
      <c r="C9" s="128" t="s">
        <v>346</v>
      </c>
      <c r="D9" s="117" t="s">
        <v>123</v>
      </c>
      <c r="E9" s="118" t="s">
        <v>329</v>
      </c>
      <c r="F9" s="127" t="s">
        <v>36</v>
      </c>
      <c r="G9" s="119" t="s">
        <v>73</v>
      </c>
      <c r="H9" s="131" t="s">
        <v>38</v>
      </c>
      <c r="I9" s="120"/>
      <c r="J9" s="132" t="s">
        <v>342</v>
      </c>
      <c r="K9" s="122">
        <v>0.2</v>
      </c>
      <c r="L9" s="123" t="s">
        <v>347</v>
      </c>
      <c r="M9" s="122">
        <v>0.2</v>
      </c>
      <c r="N9" s="123" t="s">
        <v>348</v>
      </c>
      <c r="O9" s="122">
        <v>0.25</v>
      </c>
      <c r="P9" s="123" t="s">
        <v>349</v>
      </c>
      <c r="Q9" s="122">
        <v>0.3</v>
      </c>
      <c r="R9" s="123" t="s">
        <v>349</v>
      </c>
      <c r="S9" s="124"/>
      <c r="T9" s="124"/>
      <c r="U9" s="125"/>
      <c r="V9" s="125"/>
      <c r="W9" s="126"/>
      <c r="X9" s="126">
        <f t="shared" si="0"/>
        <v>0</v>
      </c>
      <c r="Y9" s="187">
        <f t="shared" si="1"/>
        <v>0.95</v>
      </c>
      <c r="Z9" s="57"/>
      <c r="AA9" s="57"/>
    </row>
    <row r="10" spans="1:27" ht="159">
      <c r="A10" s="114">
        <v>8</v>
      </c>
      <c r="B10" s="100" t="s">
        <v>350</v>
      </c>
      <c r="C10" s="128" t="s">
        <v>351</v>
      </c>
      <c r="D10" s="117" t="s">
        <v>123</v>
      </c>
      <c r="E10" s="133" t="s">
        <v>329</v>
      </c>
      <c r="F10" s="127" t="s">
        <v>36</v>
      </c>
      <c r="G10" s="134" t="s">
        <v>89</v>
      </c>
      <c r="H10" s="131" t="s">
        <v>38</v>
      </c>
      <c r="I10" s="57"/>
      <c r="J10" s="132" t="s">
        <v>342</v>
      </c>
      <c r="K10" s="159">
        <v>0.1</v>
      </c>
      <c r="L10" s="279" t="s">
        <v>352</v>
      </c>
      <c r="M10" s="168">
        <v>0.1</v>
      </c>
      <c r="N10" s="279" t="s">
        <v>353</v>
      </c>
      <c r="O10" s="159">
        <v>0.1</v>
      </c>
      <c r="P10" s="279" t="s">
        <v>353</v>
      </c>
      <c r="Q10" s="122">
        <v>0.4</v>
      </c>
      <c r="R10" s="279" t="s">
        <v>353</v>
      </c>
      <c r="S10" s="57"/>
      <c r="T10" s="57"/>
      <c r="U10" s="57"/>
      <c r="V10" s="57"/>
      <c r="W10" s="57"/>
      <c r="X10" s="57"/>
      <c r="Y10" s="187">
        <f t="shared" si="1"/>
        <v>0.70000000000000007</v>
      </c>
      <c r="Z10" s="57"/>
      <c r="AA10" s="299" t="s">
        <v>354</v>
      </c>
    </row>
    <row r="11" spans="1:27" ht="84.75">
      <c r="A11" s="114">
        <v>9</v>
      </c>
      <c r="B11" s="100" t="s">
        <v>355</v>
      </c>
      <c r="C11" s="128" t="s">
        <v>356</v>
      </c>
      <c r="D11" s="117" t="s">
        <v>123</v>
      </c>
      <c r="E11" s="133" t="s">
        <v>329</v>
      </c>
      <c r="F11" s="127" t="s">
        <v>47</v>
      </c>
      <c r="G11" s="134" t="s">
        <v>253</v>
      </c>
      <c r="H11" s="131" t="s">
        <v>38</v>
      </c>
      <c r="I11" s="57"/>
      <c r="J11" s="132" t="s">
        <v>342</v>
      </c>
      <c r="K11" s="159">
        <v>0</v>
      </c>
      <c r="L11" s="95" t="s">
        <v>357</v>
      </c>
      <c r="M11" s="168">
        <v>0</v>
      </c>
      <c r="N11" s="169" t="s">
        <v>357</v>
      </c>
      <c r="O11" s="168">
        <v>0</v>
      </c>
      <c r="P11" s="169" t="s">
        <v>357</v>
      </c>
      <c r="Q11" s="159">
        <v>0</v>
      </c>
      <c r="R11" s="169" t="s">
        <v>357</v>
      </c>
      <c r="S11" s="57"/>
      <c r="T11" s="57"/>
      <c r="U11" s="57"/>
      <c r="V11" s="57"/>
      <c r="W11" s="57"/>
      <c r="X11" s="57"/>
      <c r="Y11" s="187">
        <f t="shared" si="1"/>
        <v>0</v>
      </c>
      <c r="Z11" s="57"/>
      <c r="AA11" s="299" t="s">
        <v>358</v>
      </c>
    </row>
    <row r="12" spans="1:27" ht="106.5">
      <c r="A12" s="114">
        <v>10</v>
      </c>
      <c r="B12" s="100" t="s">
        <v>359</v>
      </c>
      <c r="C12" s="57" t="s">
        <v>360</v>
      </c>
      <c r="D12" s="117" t="s">
        <v>123</v>
      </c>
      <c r="E12" s="133" t="s">
        <v>329</v>
      </c>
      <c r="F12" s="127" t="s">
        <v>47</v>
      </c>
      <c r="G12" s="134" t="s">
        <v>73</v>
      </c>
      <c r="H12" s="131" t="s">
        <v>38</v>
      </c>
      <c r="I12" s="57"/>
      <c r="J12" s="132" t="s">
        <v>342</v>
      </c>
      <c r="K12" s="159">
        <v>0</v>
      </c>
      <c r="L12" s="95" t="s">
        <v>361</v>
      </c>
      <c r="M12" s="168">
        <v>0</v>
      </c>
      <c r="N12" s="169" t="s">
        <v>361</v>
      </c>
      <c r="O12" s="168">
        <v>0</v>
      </c>
      <c r="P12" s="169" t="s">
        <v>361</v>
      </c>
      <c r="Q12" s="168">
        <v>0</v>
      </c>
      <c r="R12" s="169" t="s">
        <v>361</v>
      </c>
      <c r="S12" s="57"/>
      <c r="T12" s="57"/>
      <c r="U12" s="57"/>
      <c r="V12" s="57"/>
      <c r="W12" s="57"/>
      <c r="X12" s="57"/>
      <c r="Y12" s="187">
        <f t="shared" si="1"/>
        <v>0</v>
      </c>
      <c r="Z12" s="57"/>
      <c r="AA12" s="57"/>
    </row>
    <row r="13" spans="1:27" ht="116.25">
      <c r="A13" s="114">
        <v>11</v>
      </c>
      <c r="B13" s="54" t="s">
        <v>362</v>
      </c>
      <c r="C13" s="135" t="s">
        <v>363</v>
      </c>
      <c r="D13" s="117" t="s">
        <v>123</v>
      </c>
      <c r="E13" s="133" t="s">
        <v>329</v>
      </c>
      <c r="F13" s="127" t="s">
        <v>278</v>
      </c>
      <c r="G13" s="134" t="s">
        <v>48</v>
      </c>
      <c r="H13" s="131" t="s">
        <v>38</v>
      </c>
      <c r="I13" s="57"/>
      <c r="J13" s="132" t="s">
        <v>342</v>
      </c>
      <c r="K13" s="159">
        <v>0.25</v>
      </c>
      <c r="L13" s="95" t="s">
        <v>364</v>
      </c>
      <c r="M13" s="168">
        <v>0.25</v>
      </c>
      <c r="N13" s="169" t="s">
        <v>365</v>
      </c>
      <c r="O13" s="159">
        <v>0.25</v>
      </c>
      <c r="P13" s="169" t="s">
        <v>365</v>
      </c>
      <c r="Q13" s="159">
        <v>0.25</v>
      </c>
      <c r="R13" s="169" t="s">
        <v>365</v>
      </c>
      <c r="S13" s="57"/>
      <c r="T13" s="57"/>
      <c r="U13" s="57"/>
      <c r="V13" s="57"/>
      <c r="W13" s="57"/>
      <c r="X13" s="57"/>
      <c r="Y13" s="187">
        <f t="shared" si="1"/>
        <v>1</v>
      </c>
      <c r="Z13" s="57"/>
      <c r="AA13" s="57"/>
    </row>
    <row r="14" spans="1:27" ht="159">
      <c r="A14" s="114">
        <v>12</v>
      </c>
      <c r="B14" s="54" t="s">
        <v>366</v>
      </c>
      <c r="C14" s="135" t="s">
        <v>367</v>
      </c>
      <c r="D14" s="117" t="s">
        <v>123</v>
      </c>
      <c r="E14" s="133" t="s">
        <v>329</v>
      </c>
      <c r="F14" s="127" t="s">
        <v>278</v>
      </c>
      <c r="G14" s="134" t="s">
        <v>73</v>
      </c>
      <c r="H14" s="131" t="s">
        <v>38</v>
      </c>
      <c r="I14" s="57"/>
      <c r="J14" s="132" t="s">
        <v>368</v>
      </c>
      <c r="K14" s="159">
        <f>(50*0.25)/100</f>
        <v>0.125</v>
      </c>
      <c r="L14" s="141" t="s">
        <v>369</v>
      </c>
      <c r="M14" s="159">
        <v>0.1</v>
      </c>
      <c r="N14" s="141" t="s">
        <v>370</v>
      </c>
      <c r="O14" s="159">
        <v>0.2</v>
      </c>
      <c r="P14" s="141" t="s">
        <v>370</v>
      </c>
      <c r="Q14" s="159">
        <v>0.4</v>
      </c>
      <c r="R14" s="280" t="s">
        <v>371</v>
      </c>
      <c r="S14" s="57"/>
      <c r="T14" s="57"/>
      <c r="U14" s="57"/>
      <c r="V14" s="57"/>
      <c r="W14" s="57"/>
      <c r="X14" s="57"/>
      <c r="Y14" s="187">
        <f t="shared" si="1"/>
        <v>0.82500000000000007</v>
      </c>
      <c r="Z14" s="57"/>
      <c r="AA14" s="95" t="s">
        <v>372</v>
      </c>
    </row>
    <row r="15" spans="1:27" ht="52.5" customHeight="1">
      <c r="A15" s="114">
        <v>13</v>
      </c>
      <c r="B15" s="54" t="s">
        <v>373</v>
      </c>
      <c r="C15" s="135" t="s">
        <v>374</v>
      </c>
      <c r="D15" s="117" t="s">
        <v>123</v>
      </c>
      <c r="E15" s="133" t="s">
        <v>329</v>
      </c>
      <c r="F15" s="127" t="s">
        <v>278</v>
      </c>
      <c r="G15" s="134" t="s">
        <v>73</v>
      </c>
      <c r="H15" s="131" t="s">
        <v>38</v>
      </c>
      <c r="I15" s="57"/>
      <c r="J15" s="132" t="s">
        <v>342</v>
      </c>
      <c r="K15" s="159">
        <v>0.25</v>
      </c>
      <c r="L15" s="279" t="s">
        <v>375</v>
      </c>
      <c r="M15" s="168">
        <v>0.25</v>
      </c>
      <c r="N15" s="297" t="s">
        <v>376</v>
      </c>
      <c r="O15" s="168">
        <v>0.25</v>
      </c>
      <c r="P15" s="169" t="s">
        <v>376</v>
      </c>
      <c r="Q15" s="168">
        <v>0.25</v>
      </c>
      <c r="R15" s="169" t="s">
        <v>376</v>
      </c>
      <c r="S15" s="57"/>
      <c r="T15" s="57"/>
      <c r="U15" s="57"/>
      <c r="V15" s="57"/>
      <c r="W15" s="57"/>
      <c r="X15" s="57"/>
      <c r="Y15" s="187">
        <f t="shared" si="1"/>
        <v>1</v>
      </c>
      <c r="Z15" s="57"/>
      <c r="AA15" s="57"/>
    </row>
    <row r="16" spans="1:27" ht="136.5" customHeight="1">
      <c r="A16" s="114">
        <v>14</v>
      </c>
      <c r="B16" s="54" t="s">
        <v>377</v>
      </c>
      <c r="C16" s="116" t="s">
        <v>378</v>
      </c>
      <c r="D16" s="117" t="s">
        <v>123</v>
      </c>
      <c r="E16" s="133" t="s">
        <v>329</v>
      </c>
      <c r="F16" s="127" t="s">
        <v>278</v>
      </c>
      <c r="G16" s="134" t="s">
        <v>73</v>
      </c>
      <c r="H16" s="131" t="s">
        <v>38</v>
      </c>
      <c r="I16" s="57"/>
      <c r="J16" s="132" t="s">
        <v>342</v>
      </c>
      <c r="K16" s="159">
        <v>0.2</v>
      </c>
      <c r="L16" s="279" t="s">
        <v>379</v>
      </c>
      <c r="M16" s="168">
        <v>0.2</v>
      </c>
      <c r="N16" s="297" t="s">
        <v>379</v>
      </c>
      <c r="O16" s="168">
        <v>0.25</v>
      </c>
      <c r="P16" s="169" t="s">
        <v>379</v>
      </c>
      <c r="Q16" s="168">
        <v>0.25</v>
      </c>
      <c r="R16" s="169" t="s">
        <v>379</v>
      </c>
      <c r="S16" s="57"/>
      <c r="T16" s="57"/>
      <c r="U16" s="57"/>
      <c r="V16" s="57"/>
      <c r="W16" s="57"/>
      <c r="X16" s="57"/>
      <c r="Y16" s="187">
        <f t="shared" si="1"/>
        <v>0.9</v>
      </c>
      <c r="Z16" s="57"/>
      <c r="AA16" s="279" t="s">
        <v>380</v>
      </c>
    </row>
    <row r="17" spans="1:27" ht="116.25">
      <c r="A17" s="114">
        <v>15</v>
      </c>
      <c r="B17" s="54" t="s">
        <v>381</v>
      </c>
      <c r="C17" s="128" t="s">
        <v>45</v>
      </c>
      <c r="D17" s="117" t="s">
        <v>123</v>
      </c>
      <c r="E17" s="133" t="s">
        <v>329</v>
      </c>
      <c r="F17" s="127" t="s">
        <v>382</v>
      </c>
      <c r="G17" s="134" t="s">
        <v>73</v>
      </c>
      <c r="H17" s="131" t="s">
        <v>38</v>
      </c>
      <c r="I17" s="57"/>
      <c r="J17" s="132" t="s">
        <v>383</v>
      </c>
      <c r="K17" s="159">
        <v>0.1</v>
      </c>
      <c r="L17" s="279" t="s">
        <v>384</v>
      </c>
      <c r="M17" s="168">
        <v>0.1</v>
      </c>
      <c r="N17" s="297" t="s">
        <v>384</v>
      </c>
      <c r="O17" s="159">
        <v>0.25</v>
      </c>
      <c r="P17" s="169" t="s">
        <v>384</v>
      </c>
      <c r="Q17" s="159">
        <v>0.25</v>
      </c>
      <c r="R17" s="298" t="s">
        <v>384</v>
      </c>
      <c r="S17" s="57"/>
      <c r="T17" s="57"/>
      <c r="U17" s="57"/>
      <c r="V17" s="57"/>
      <c r="W17" s="57"/>
      <c r="X17" s="57"/>
      <c r="Y17" s="187">
        <f t="shared" si="1"/>
        <v>0.7</v>
      </c>
      <c r="Z17" s="57"/>
      <c r="AA17" s="57"/>
    </row>
    <row r="18" spans="1:27" ht="50.25" customHeight="1">
      <c r="A18" s="114">
        <v>16</v>
      </c>
      <c r="B18" s="54" t="s">
        <v>385</v>
      </c>
      <c r="C18" s="128" t="s">
        <v>45</v>
      </c>
      <c r="D18" s="117" t="s">
        <v>123</v>
      </c>
      <c r="E18" s="133" t="s">
        <v>329</v>
      </c>
      <c r="F18" s="127" t="s">
        <v>382</v>
      </c>
      <c r="G18" s="134" t="s">
        <v>73</v>
      </c>
      <c r="H18" s="131" t="s">
        <v>38</v>
      </c>
      <c r="I18" s="57"/>
      <c r="J18" s="132" t="s">
        <v>368</v>
      </c>
      <c r="K18" s="159">
        <v>0</v>
      </c>
      <c r="L18" s="95" t="s">
        <v>386</v>
      </c>
      <c r="M18" s="168">
        <v>0</v>
      </c>
      <c r="N18" s="169" t="s">
        <v>386</v>
      </c>
      <c r="O18" s="159">
        <v>0.5</v>
      </c>
      <c r="P18" s="95" t="s">
        <v>387</v>
      </c>
      <c r="Q18" s="159">
        <v>0.5</v>
      </c>
      <c r="R18" s="95" t="s">
        <v>387</v>
      </c>
      <c r="S18" s="57"/>
      <c r="T18" s="57"/>
      <c r="U18" s="57"/>
      <c r="V18" s="57"/>
      <c r="W18" s="57"/>
      <c r="X18" s="57"/>
      <c r="Y18" s="187">
        <f t="shared" si="1"/>
        <v>1</v>
      </c>
      <c r="Z18" s="57"/>
      <c r="AA18" s="57"/>
    </row>
    <row r="19" spans="1:27" ht="54" customHeight="1">
      <c r="A19" s="114">
        <v>19</v>
      </c>
      <c r="B19" s="54" t="s">
        <v>388</v>
      </c>
      <c r="C19" s="116" t="s">
        <v>389</v>
      </c>
      <c r="D19" s="117" t="s">
        <v>123</v>
      </c>
      <c r="E19" s="133" t="s">
        <v>329</v>
      </c>
      <c r="F19" s="127" t="s">
        <v>36</v>
      </c>
      <c r="G19" s="134" t="s">
        <v>73</v>
      </c>
      <c r="H19" s="131" t="s">
        <v>38</v>
      </c>
      <c r="I19" s="57"/>
      <c r="J19" s="132" t="s">
        <v>390</v>
      </c>
      <c r="K19" s="159">
        <v>0</v>
      </c>
      <c r="L19" s="95" t="s">
        <v>391</v>
      </c>
      <c r="M19" s="168">
        <v>0</v>
      </c>
      <c r="N19" s="169" t="s">
        <v>391</v>
      </c>
      <c r="O19" s="159">
        <v>0.1</v>
      </c>
      <c r="P19" s="169" t="s">
        <v>392</v>
      </c>
      <c r="Q19" s="159">
        <v>0.4</v>
      </c>
      <c r="R19" s="169" t="s">
        <v>392</v>
      </c>
      <c r="S19" s="57"/>
      <c r="T19" s="57"/>
      <c r="U19" s="57"/>
      <c r="V19" s="57"/>
      <c r="W19" s="57"/>
      <c r="X19" s="57"/>
      <c r="Y19" s="187">
        <f t="shared" si="1"/>
        <v>0.5</v>
      </c>
      <c r="Z19" s="57"/>
      <c r="AA19" s="57"/>
    </row>
    <row r="20" spans="1:27" ht="19.5">
      <c r="K20" s="174">
        <f>SUM(K6:K19)/14</f>
        <v>0.12678571428571431</v>
      </c>
      <c r="L20" s="174"/>
      <c r="M20" s="174">
        <f t="shared" ref="L20:S20" si="2">SUM(M6:M19)/14</f>
        <v>0.12500000000000003</v>
      </c>
      <c r="N20" s="174"/>
      <c r="O20" s="174">
        <f t="shared" si="2"/>
        <v>0.19285714285714284</v>
      </c>
      <c r="P20" s="174"/>
      <c r="Q20" s="174">
        <f t="shared" si="2"/>
        <v>0.25357142857142856</v>
      </c>
      <c r="R20" s="174"/>
      <c r="S20" s="174"/>
      <c r="Y20" s="174">
        <f>SUM(Y6:Y19)/14</f>
        <v>0.69821428571428579</v>
      </c>
    </row>
    <row r="23" spans="1:27">
      <c r="Y23" s="66"/>
    </row>
    <row r="25" spans="1:27">
      <c r="M25" s="209">
        <f>(36+42+39+50)/4</f>
        <v>41.75</v>
      </c>
      <c r="N25" s="209">
        <f>(40+50+0+60+50+50+50+50)/8</f>
        <v>43.75</v>
      </c>
    </row>
    <row r="1048282"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ED178B8-116A-411B-BB83-23EA1D3B1173}">
          <x14:formula1>
            <xm:f>'Hoja Formulación'!$C$6:$C$16</xm:f>
          </x14:formula1>
          <xm:sqref>E4:E5</xm:sqref>
        </x14:dataValidation>
        <x14:dataValidation type="list" allowBlank="1" showInputMessage="1" showErrorMessage="1" xr:uid="{BE3ED8E4-76E0-4AC4-8D0A-CEE075939383}">
          <x14:formula1>
            <xm:f>'Hoja Formulación'!$E$6:$E$16</xm:f>
          </x14:formula1>
          <xm:sqref>G6:G19</xm:sqref>
        </x14:dataValidation>
        <x14:dataValidation type="list" allowBlank="1" showInputMessage="1" showErrorMessage="1" xr:uid="{1E24BFCC-A289-4D08-B98C-B9C8E4E00172}">
          <x14:formula1>
            <xm:f>'Hoja Formulación'!$D$6:$D$23</xm:f>
          </x14:formula1>
          <xm:sqref>F6:F19</xm:sqref>
        </x14:dataValidation>
        <x14:dataValidation type="list" allowBlank="1" showInputMessage="1" showErrorMessage="1" xr:uid="{3C6B17E9-7EF2-474E-9BC1-E69ADE6B671E}">
          <x14:formula1>
            <xm:f>'Hoja Formulación'!$B$6:$B$8</xm:f>
          </x14:formula1>
          <xm:sqref>D4:D19</xm:sqref>
        </x14:dataValidation>
        <x14:dataValidation type="list" allowBlank="1" showInputMessage="1" showErrorMessage="1" xr:uid="{5767BA3D-76BB-4B16-9D12-929C79C8CD5C}">
          <x14:formula1>
            <xm:f>'Hoja Formulación'!$C$6:$C$18</xm:f>
          </x14:formula1>
          <xm:sqref>E6:E19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048309"/>
  <sheetViews>
    <sheetView topLeftCell="F1" zoomScale="130" zoomScaleNormal="130" workbookViewId="0">
      <selection activeCell="K10" sqref="K10"/>
    </sheetView>
  </sheetViews>
  <sheetFormatPr defaultColWidth="11.42578125" defaultRowHeight="10.5"/>
  <cols>
    <col min="1" max="1" width="11.42578125" style="7"/>
    <col min="2" max="2" width="29.28515625" style="7" customWidth="1"/>
    <col min="3" max="3" width="28" style="7" customWidth="1"/>
    <col min="4" max="4" width="30.28515625" style="7" bestFit="1" customWidth="1"/>
    <col min="5" max="5" width="63.85546875" style="36" bestFit="1" customWidth="1"/>
    <col min="6" max="6" width="41.5703125" style="7" customWidth="1"/>
    <col min="7" max="7" width="55.85546875" style="42" bestFit="1" customWidth="1"/>
    <col min="8" max="9" width="11.42578125" style="7" customWidth="1"/>
    <col min="10" max="10" width="14"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50" t="s">
        <v>1</v>
      </c>
      <c r="B3" s="350" t="s">
        <v>2</v>
      </c>
      <c r="C3" s="351" t="s">
        <v>3</v>
      </c>
      <c r="D3" s="350" t="s">
        <v>4</v>
      </c>
      <c r="E3" s="350"/>
      <c r="F3" s="350"/>
      <c r="G3" s="350"/>
      <c r="H3" s="350"/>
      <c r="I3" s="350"/>
      <c r="J3" s="350" t="s">
        <v>5</v>
      </c>
      <c r="K3" s="350" t="s">
        <v>6</v>
      </c>
      <c r="L3" s="350"/>
      <c r="M3" s="350"/>
      <c r="N3" s="350"/>
      <c r="O3" s="350"/>
      <c r="P3" s="350"/>
      <c r="Q3" s="350"/>
      <c r="R3" s="350"/>
      <c r="S3" s="350" t="s">
        <v>7</v>
      </c>
      <c r="T3" s="350"/>
      <c r="U3" s="350" t="s">
        <v>8</v>
      </c>
      <c r="V3" s="350"/>
      <c r="W3" s="350"/>
      <c r="X3" s="350"/>
      <c r="Y3" s="350" t="s">
        <v>9</v>
      </c>
      <c r="Z3" s="350" t="s">
        <v>10</v>
      </c>
      <c r="AA3" s="350" t="s">
        <v>11</v>
      </c>
    </row>
    <row r="4" spans="1:27" ht="24" customHeight="1">
      <c r="A4" s="350"/>
      <c r="B4" s="350"/>
      <c r="C4" s="351"/>
      <c r="D4" s="352" t="s">
        <v>12</v>
      </c>
      <c r="E4" s="352" t="s">
        <v>13</v>
      </c>
      <c r="F4" s="350" t="s">
        <v>14</v>
      </c>
      <c r="G4" s="130" t="s">
        <v>15</v>
      </c>
      <c r="H4" s="350" t="s">
        <v>16</v>
      </c>
      <c r="I4" s="350"/>
      <c r="J4" s="350"/>
      <c r="K4" s="353" t="s">
        <v>17</v>
      </c>
      <c r="L4" s="353"/>
      <c r="M4" s="353" t="s">
        <v>18</v>
      </c>
      <c r="N4" s="353"/>
      <c r="O4" s="353" t="s">
        <v>19</v>
      </c>
      <c r="P4" s="353"/>
      <c r="Q4" s="353" t="s">
        <v>20</v>
      </c>
      <c r="R4" s="353"/>
      <c r="S4" s="354" t="s">
        <v>21</v>
      </c>
      <c r="T4" s="354" t="s">
        <v>22</v>
      </c>
      <c r="U4" s="354" t="s">
        <v>23</v>
      </c>
      <c r="V4" s="354" t="s">
        <v>24</v>
      </c>
      <c r="W4" s="350" t="s">
        <v>25</v>
      </c>
      <c r="X4" s="350" t="s">
        <v>26</v>
      </c>
      <c r="Y4" s="350"/>
      <c r="Z4" s="350"/>
      <c r="AA4" s="350"/>
    </row>
    <row r="5" spans="1:27" ht="17.25" customHeight="1">
      <c r="A5" s="350"/>
      <c r="B5" s="350"/>
      <c r="C5" s="351"/>
      <c r="D5" s="352"/>
      <c r="E5" s="352"/>
      <c r="F5" s="350"/>
      <c r="G5" s="130" t="s">
        <v>27</v>
      </c>
      <c r="H5" s="129" t="s">
        <v>28</v>
      </c>
      <c r="I5" s="129" t="s">
        <v>29</v>
      </c>
      <c r="J5" s="350"/>
      <c r="K5" s="129" t="s">
        <v>30</v>
      </c>
      <c r="L5" s="129" t="s">
        <v>31</v>
      </c>
      <c r="M5" s="129" t="s">
        <v>30</v>
      </c>
      <c r="N5" s="129" t="s">
        <v>31</v>
      </c>
      <c r="O5" s="129" t="s">
        <v>30</v>
      </c>
      <c r="P5" s="129" t="s">
        <v>31</v>
      </c>
      <c r="Q5" s="129" t="s">
        <v>30</v>
      </c>
      <c r="R5" s="129" t="s">
        <v>31</v>
      </c>
      <c r="S5" s="354"/>
      <c r="T5" s="354"/>
      <c r="U5" s="354"/>
      <c r="V5" s="354"/>
      <c r="W5" s="350"/>
      <c r="X5" s="350"/>
      <c r="Y5" s="350"/>
      <c r="Z5" s="350"/>
      <c r="AA5" s="350"/>
    </row>
    <row r="6" spans="1:27" ht="21">
      <c r="A6" s="114">
        <v>1</v>
      </c>
      <c r="B6" s="136" t="s">
        <v>393</v>
      </c>
      <c r="C6" s="128" t="s">
        <v>394</v>
      </c>
      <c r="D6" s="117" t="s">
        <v>34</v>
      </c>
      <c r="E6" s="118" t="s">
        <v>46</v>
      </c>
      <c r="F6" s="127" t="s">
        <v>272</v>
      </c>
      <c r="G6" s="119" t="s">
        <v>48</v>
      </c>
      <c r="H6" s="120"/>
      <c r="I6" s="120"/>
      <c r="J6" s="121" t="s">
        <v>395</v>
      </c>
      <c r="K6" s="122">
        <v>0.25</v>
      </c>
      <c r="L6" s="123" t="s">
        <v>396</v>
      </c>
      <c r="M6" s="122">
        <v>0.25</v>
      </c>
      <c r="N6" s="123" t="s">
        <v>397</v>
      </c>
      <c r="O6" s="122">
        <v>0.25</v>
      </c>
      <c r="P6" s="123" t="s">
        <v>398</v>
      </c>
      <c r="Q6" s="122">
        <v>0.25</v>
      </c>
      <c r="R6" s="123" t="s">
        <v>399</v>
      </c>
      <c r="S6" s="124"/>
      <c r="T6" s="124"/>
      <c r="U6" s="125"/>
      <c r="V6" s="125"/>
      <c r="W6" s="126"/>
      <c r="X6" s="126">
        <f t="shared" ref="X6:X9" si="0">SUM(U6+V6+W6)</f>
        <v>0</v>
      </c>
      <c r="Y6" s="186">
        <f>SUM(K6+M6+O6+Q6)</f>
        <v>1</v>
      </c>
      <c r="Z6" s="57"/>
      <c r="AA6" s="57"/>
    </row>
    <row r="7" spans="1:27" ht="31.5">
      <c r="A7" s="114">
        <v>2</v>
      </c>
      <c r="B7" s="137" t="s">
        <v>400</v>
      </c>
      <c r="C7" s="128" t="s">
        <v>401</v>
      </c>
      <c r="D7" s="117" t="s">
        <v>34</v>
      </c>
      <c r="E7" s="118" t="s">
        <v>46</v>
      </c>
      <c r="F7" s="127" t="s">
        <v>272</v>
      </c>
      <c r="G7" s="119" t="s">
        <v>48</v>
      </c>
      <c r="H7" s="120"/>
      <c r="I7" s="120"/>
      <c r="J7" s="121" t="s">
        <v>395</v>
      </c>
      <c r="K7" s="122">
        <v>0.25</v>
      </c>
      <c r="L7" s="123" t="s">
        <v>402</v>
      </c>
      <c r="M7" s="122">
        <v>0.25</v>
      </c>
      <c r="N7" s="123" t="s">
        <v>403</v>
      </c>
      <c r="O7" s="122">
        <v>0.25</v>
      </c>
      <c r="P7" s="123" t="s">
        <v>404</v>
      </c>
      <c r="Q7" s="122">
        <v>0.25</v>
      </c>
      <c r="R7" s="123" t="s">
        <v>405</v>
      </c>
      <c r="S7" s="124"/>
      <c r="T7" s="124"/>
      <c r="U7" s="125"/>
      <c r="V7" s="125"/>
      <c r="W7" s="126"/>
      <c r="X7" s="126">
        <f t="shared" si="0"/>
        <v>0</v>
      </c>
      <c r="Y7" s="186">
        <f t="shared" ref="Y7:Y9" si="1">SUM(K7+M7+O7+Q7)</f>
        <v>1</v>
      </c>
      <c r="Z7" s="57"/>
      <c r="AA7" s="57"/>
    </row>
    <row r="8" spans="1:27" ht="21">
      <c r="A8" s="114">
        <v>3</v>
      </c>
      <c r="B8" s="136" t="s">
        <v>406</v>
      </c>
      <c r="C8" s="128" t="s">
        <v>407</v>
      </c>
      <c r="D8" s="117" t="s">
        <v>34</v>
      </c>
      <c r="E8" s="118" t="s">
        <v>46</v>
      </c>
      <c r="F8" s="127" t="s">
        <v>272</v>
      </c>
      <c r="G8" s="119" t="s">
        <v>48</v>
      </c>
      <c r="H8" s="120"/>
      <c r="I8" s="120"/>
      <c r="J8" s="121" t="s">
        <v>395</v>
      </c>
      <c r="K8" s="122">
        <v>0.25</v>
      </c>
      <c r="L8" s="123" t="s">
        <v>408</v>
      </c>
      <c r="M8" s="122">
        <v>0.25</v>
      </c>
      <c r="N8" s="123" t="s">
        <v>409</v>
      </c>
      <c r="O8" s="122">
        <v>0.25</v>
      </c>
      <c r="P8" s="123" t="s">
        <v>409</v>
      </c>
      <c r="Q8" s="122">
        <v>0.25</v>
      </c>
      <c r="R8" s="123" t="s">
        <v>408</v>
      </c>
      <c r="S8" s="124"/>
      <c r="T8" s="124"/>
      <c r="U8" s="125"/>
      <c r="V8" s="125"/>
      <c r="W8" s="126"/>
      <c r="X8" s="126">
        <f t="shared" si="0"/>
        <v>0</v>
      </c>
      <c r="Y8" s="186">
        <f t="shared" si="1"/>
        <v>1</v>
      </c>
      <c r="Z8" s="57"/>
      <c r="AA8" s="57"/>
    </row>
    <row r="9" spans="1:27" ht="21">
      <c r="A9" s="114">
        <v>4</v>
      </c>
      <c r="B9" s="137" t="s">
        <v>410</v>
      </c>
      <c r="C9" s="138" t="s">
        <v>411</v>
      </c>
      <c r="D9" s="117" t="s">
        <v>34</v>
      </c>
      <c r="E9" s="118" t="s">
        <v>46</v>
      </c>
      <c r="F9" s="127" t="s">
        <v>272</v>
      </c>
      <c r="G9" s="119" t="s">
        <v>48</v>
      </c>
      <c r="H9" s="120"/>
      <c r="I9" s="120"/>
      <c r="J9" s="121" t="s">
        <v>395</v>
      </c>
      <c r="K9" s="122">
        <v>0.25</v>
      </c>
      <c r="L9" s="123" t="s">
        <v>412</v>
      </c>
      <c r="M9" s="122">
        <v>0.25</v>
      </c>
      <c r="N9" s="123"/>
      <c r="O9" s="122">
        <v>0.25</v>
      </c>
      <c r="P9" s="123"/>
      <c r="Q9" s="122">
        <v>0.25</v>
      </c>
      <c r="R9" s="123" t="s">
        <v>413</v>
      </c>
      <c r="S9" s="124"/>
      <c r="T9" s="124"/>
      <c r="U9" s="125"/>
      <c r="V9" s="125"/>
      <c r="W9" s="126"/>
      <c r="X9" s="126">
        <f t="shared" si="0"/>
        <v>0</v>
      </c>
      <c r="Y9" s="186">
        <f t="shared" si="1"/>
        <v>1</v>
      </c>
      <c r="Z9" s="57"/>
      <c r="AA9" s="57"/>
    </row>
    <row r="10" spans="1:27" ht="16.5">
      <c r="K10" s="170">
        <f>SUM(K6:K9)/4</f>
        <v>0.25</v>
      </c>
      <c r="L10" s="172"/>
      <c r="M10" s="170">
        <f t="shared" ref="L10:R10" si="2">SUM(M6:M9)/4</f>
        <v>0.25</v>
      </c>
      <c r="N10" s="172"/>
      <c r="O10" s="170">
        <f t="shared" si="2"/>
        <v>0.25</v>
      </c>
      <c r="P10" s="172"/>
      <c r="Q10" s="170">
        <f t="shared" si="2"/>
        <v>0.25</v>
      </c>
      <c r="R10" s="66"/>
      <c r="Y10" s="66">
        <f>SUM(Y6:Y9)/4</f>
        <v>1</v>
      </c>
    </row>
    <row r="1048309"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0000000}">
          <x14:formula1>
            <xm:f>'Hoja Formulación'!$B$6:$B$8</xm:f>
          </x14:formula1>
          <xm:sqref>D4:D9</xm:sqref>
        </x14:dataValidation>
        <x14:dataValidation type="list" allowBlank="1" showInputMessage="1" showErrorMessage="1" xr:uid="{00000000-0002-0000-0A00-000001000000}">
          <x14:formula1>
            <xm:f>'Hoja Formulación'!$C$6:$C$16</xm:f>
          </x14:formula1>
          <xm:sqref>E4:E5</xm:sqref>
        </x14:dataValidation>
        <x14:dataValidation type="list" allowBlank="1" showInputMessage="1" showErrorMessage="1" xr:uid="{00000000-0002-0000-0A00-000002000000}">
          <x14:formula1>
            <xm:f>'Hoja Formulación'!$D$6:$D$23</xm:f>
          </x14:formula1>
          <xm:sqref>F6:F9</xm:sqref>
        </x14:dataValidation>
        <x14:dataValidation type="list" allowBlank="1" showInputMessage="1" showErrorMessage="1" xr:uid="{00000000-0002-0000-0A00-000003000000}">
          <x14:formula1>
            <xm:f>'Hoja Formulación'!$E$6:$E$16</xm:f>
          </x14:formula1>
          <xm:sqref>G6:G9</xm:sqref>
        </x14:dataValidation>
        <x14:dataValidation type="list" allowBlank="1" showInputMessage="1" showErrorMessage="1" xr:uid="{00000000-0002-0000-0A00-000004000000}">
          <x14:formula1>
            <xm:f>'Hoja Formulación'!$C$6:$C$17</xm:f>
          </x14:formula1>
          <xm:sqref>E6:E9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AA1048311"/>
  <sheetViews>
    <sheetView topLeftCell="A4" zoomScale="130" zoomScaleNormal="130" workbookViewId="0">
      <pane ySplit="1" topLeftCell="A5" activePane="bottomLeft" state="frozen"/>
      <selection pane="bottomLeft" activeCell="D1" sqref="D1"/>
    </sheetView>
  </sheetViews>
  <sheetFormatPr defaultColWidth="11.42578125" defaultRowHeight="12.75"/>
  <cols>
    <col min="1" max="1" width="11.42578125" style="38"/>
    <col min="2" max="2" width="63.140625" style="7" bestFit="1" customWidth="1"/>
    <col min="3" max="3" width="26.140625" style="7" customWidth="1"/>
    <col min="4" max="4" width="26.7109375" style="7" hidden="1" customWidth="1"/>
    <col min="5" max="5" width="19.7109375" style="36" hidden="1" customWidth="1"/>
    <col min="6" max="6" width="27.28515625" style="7" hidden="1" customWidth="1"/>
    <col min="7" max="7" width="27.28515625" style="42" hidden="1" customWidth="1"/>
    <col min="8" max="9" width="11.42578125" style="7" hidden="1" customWidth="1"/>
    <col min="10" max="10" width="14" style="7" hidden="1" customWidth="1"/>
    <col min="11" max="11" width="11.42578125" style="7" hidden="1" customWidth="1"/>
    <col min="12" max="12" width="21.7109375" style="7" hidden="1" customWidth="1"/>
    <col min="13" max="13" width="11.42578125" style="7" hidden="1" customWidth="1"/>
    <col min="14" max="14" width="22.140625" style="7" hidden="1" customWidth="1"/>
    <col min="15" max="15" width="11.42578125" style="7" hidden="1" customWidth="1"/>
    <col min="16" max="16" width="20.28515625" style="7" hidden="1" customWidth="1"/>
    <col min="17" max="17" width="11.42578125" style="7" hidden="1" customWidth="1"/>
    <col min="18" max="18" width="20.28515625" style="7" hidden="1" customWidth="1"/>
    <col min="19" max="21" width="11.42578125" style="7" hidden="1" customWidth="1"/>
    <col min="22" max="22" width="17.85546875" style="7" hidden="1" customWidth="1"/>
    <col min="23" max="23" width="11.42578125" style="7" hidden="1" customWidth="1"/>
    <col min="24" max="24" width="13.42578125" style="7" hidden="1"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38"/>
      <c r="G2" s="40"/>
      <c r="H2" s="9"/>
      <c r="I2" s="9"/>
      <c r="J2" s="9"/>
      <c r="K2" s="9"/>
      <c r="L2" s="9"/>
      <c r="M2" s="9"/>
      <c r="N2" s="9"/>
      <c r="O2" s="9"/>
      <c r="P2" s="9"/>
      <c r="Q2" s="9"/>
      <c r="R2" s="9"/>
      <c r="S2" s="9"/>
      <c r="T2" s="9"/>
      <c r="U2" s="9"/>
      <c r="V2" s="9"/>
      <c r="W2" s="9"/>
      <c r="X2" s="9"/>
      <c r="Y2" s="9"/>
      <c r="Z2" s="9"/>
      <c r="AA2" s="9"/>
    </row>
    <row r="3" spans="1:27" ht="21.75" customHeight="1">
      <c r="A3" s="350" t="s">
        <v>1</v>
      </c>
      <c r="B3" s="350" t="s">
        <v>2</v>
      </c>
      <c r="C3" s="351" t="s">
        <v>3</v>
      </c>
      <c r="D3" s="350" t="s">
        <v>4</v>
      </c>
      <c r="E3" s="350"/>
      <c r="F3" s="350"/>
      <c r="G3" s="350"/>
      <c r="H3" s="350"/>
      <c r="I3" s="350"/>
      <c r="J3" s="350" t="s">
        <v>5</v>
      </c>
      <c r="K3" s="350" t="s">
        <v>6</v>
      </c>
      <c r="L3" s="350"/>
      <c r="M3" s="350"/>
      <c r="N3" s="350"/>
      <c r="O3" s="350"/>
      <c r="P3" s="350"/>
      <c r="Q3" s="350"/>
      <c r="R3" s="350"/>
      <c r="S3" s="350" t="s">
        <v>7</v>
      </c>
      <c r="T3" s="350"/>
      <c r="U3" s="350" t="s">
        <v>8</v>
      </c>
      <c r="V3" s="350"/>
      <c r="W3" s="350"/>
      <c r="X3" s="350"/>
      <c r="Y3" s="350" t="s">
        <v>9</v>
      </c>
      <c r="Z3" s="350" t="s">
        <v>10</v>
      </c>
      <c r="AA3" s="350" t="s">
        <v>11</v>
      </c>
    </row>
    <row r="4" spans="1:27" ht="24" customHeight="1">
      <c r="A4" s="350"/>
      <c r="B4" s="350"/>
      <c r="C4" s="351"/>
      <c r="D4" s="352" t="s">
        <v>12</v>
      </c>
      <c r="E4" s="352" t="s">
        <v>13</v>
      </c>
      <c r="F4" s="352" t="s">
        <v>14</v>
      </c>
      <c r="G4" s="130" t="s">
        <v>15</v>
      </c>
      <c r="H4" s="350" t="s">
        <v>16</v>
      </c>
      <c r="I4" s="350"/>
      <c r="J4" s="350"/>
      <c r="K4" s="353" t="s">
        <v>17</v>
      </c>
      <c r="L4" s="353"/>
      <c r="M4" s="353" t="s">
        <v>18</v>
      </c>
      <c r="N4" s="353"/>
      <c r="O4" s="353" t="s">
        <v>19</v>
      </c>
      <c r="P4" s="353"/>
      <c r="Q4" s="353" t="s">
        <v>20</v>
      </c>
      <c r="R4" s="353"/>
      <c r="S4" s="354" t="s">
        <v>21</v>
      </c>
      <c r="T4" s="354" t="s">
        <v>22</v>
      </c>
      <c r="U4" s="354" t="s">
        <v>23</v>
      </c>
      <c r="V4" s="354" t="s">
        <v>24</v>
      </c>
      <c r="W4" s="350" t="s">
        <v>25</v>
      </c>
      <c r="X4" s="350" t="s">
        <v>26</v>
      </c>
      <c r="Y4" s="350"/>
      <c r="Z4" s="350"/>
      <c r="AA4" s="350"/>
    </row>
    <row r="5" spans="1:27" ht="17.25" customHeight="1">
      <c r="A5" s="350"/>
      <c r="B5" s="350"/>
      <c r="C5" s="351"/>
      <c r="D5" s="352"/>
      <c r="E5" s="352"/>
      <c r="F5" s="352"/>
      <c r="G5" s="130" t="s">
        <v>27</v>
      </c>
      <c r="H5" s="129" t="s">
        <v>28</v>
      </c>
      <c r="I5" s="129" t="s">
        <v>29</v>
      </c>
      <c r="J5" s="350"/>
      <c r="K5" s="129" t="s">
        <v>30</v>
      </c>
      <c r="L5" s="129" t="s">
        <v>31</v>
      </c>
      <c r="M5" s="129" t="s">
        <v>30</v>
      </c>
      <c r="N5" s="129" t="s">
        <v>31</v>
      </c>
      <c r="O5" s="129" t="s">
        <v>30</v>
      </c>
      <c r="P5" s="129" t="s">
        <v>31</v>
      </c>
      <c r="Q5" s="129" t="s">
        <v>30</v>
      </c>
      <c r="R5" s="129" t="s">
        <v>31</v>
      </c>
      <c r="S5" s="354"/>
      <c r="T5" s="354"/>
      <c r="U5" s="354"/>
      <c r="V5" s="354"/>
      <c r="W5" s="350"/>
      <c r="X5" s="350"/>
      <c r="Y5" s="350"/>
      <c r="Z5" s="350"/>
      <c r="AA5" s="350"/>
    </row>
    <row r="6" spans="1:27" ht="42.75">
      <c r="A6" s="139">
        <v>1</v>
      </c>
      <c r="B6" s="139" t="s">
        <v>414</v>
      </c>
      <c r="C6" s="128" t="s">
        <v>415</v>
      </c>
      <c r="D6" s="140" t="s">
        <v>123</v>
      </c>
      <c r="E6" s="118" t="s">
        <v>46</v>
      </c>
      <c r="F6" s="117" t="s">
        <v>58</v>
      </c>
      <c r="G6" s="316" t="s">
        <v>131</v>
      </c>
      <c r="H6" s="120"/>
      <c r="I6" s="120" t="s">
        <v>38</v>
      </c>
      <c r="J6" s="121" t="s">
        <v>416</v>
      </c>
      <c r="K6" s="122">
        <v>0.25</v>
      </c>
      <c r="L6" s="123" t="s">
        <v>417</v>
      </c>
      <c r="M6" s="122">
        <v>0.25</v>
      </c>
      <c r="N6" s="123" t="s">
        <v>417</v>
      </c>
      <c r="O6" s="122">
        <v>0.25</v>
      </c>
      <c r="P6" s="123" t="s">
        <v>417</v>
      </c>
      <c r="Q6" s="122">
        <v>0.25</v>
      </c>
      <c r="R6" s="123" t="s">
        <v>417</v>
      </c>
      <c r="S6" s="124">
        <v>44562</v>
      </c>
      <c r="T6" s="124" t="s">
        <v>418</v>
      </c>
      <c r="U6" s="125"/>
      <c r="V6" s="125"/>
      <c r="W6" s="126"/>
      <c r="X6" s="126">
        <f t="shared" ref="X6:X11" si="0">SUM(U6+V6+W6)</f>
        <v>0</v>
      </c>
      <c r="Y6" s="186">
        <f>SUM(K6+M6+O6+Q6)</f>
        <v>1</v>
      </c>
      <c r="Z6" s="57"/>
      <c r="AA6" s="57"/>
    </row>
    <row r="7" spans="1:27" ht="391.5">
      <c r="A7" s="139">
        <v>2</v>
      </c>
      <c r="B7" s="141" t="s">
        <v>419</v>
      </c>
      <c r="C7" s="128" t="s">
        <v>420</v>
      </c>
      <c r="D7" s="314" t="s">
        <v>34</v>
      </c>
      <c r="E7" s="315" t="s">
        <v>46</v>
      </c>
      <c r="F7" s="127" t="s">
        <v>58</v>
      </c>
      <c r="G7" s="316" t="s">
        <v>59</v>
      </c>
      <c r="H7" s="120"/>
      <c r="I7" s="120" t="s">
        <v>38</v>
      </c>
      <c r="J7" s="121" t="s">
        <v>421</v>
      </c>
      <c r="K7" s="122">
        <v>0.25</v>
      </c>
      <c r="L7" s="123" t="s">
        <v>422</v>
      </c>
      <c r="M7" s="122">
        <v>0.25</v>
      </c>
      <c r="N7" s="123" t="s">
        <v>423</v>
      </c>
      <c r="O7" s="122">
        <v>0.25</v>
      </c>
      <c r="P7" s="123" t="s">
        <v>424</v>
      </c>
      <c r="Q7" s="122">
        <v>0.25</v>
      </c>
      <c r="R7" s="123" t="s">
        <v>425</v>
      </c>
      <c r="S7" s="124">
        <v>44562</v>
      </c>
      <c r="T7" s="124" t="s">
        <v>418</v>
      </c>
      <c r="U7" s="125"/>
      <c r="V7" s="125"/>
      <c r="W7" s="126"/>
      <c r="X7" s="126">
        <f t="shared" si="0"/>
        <v>0</v>
      </c>
      <c r="Y7" s="186">
        <f t="shared" ref="Y7:Y11" si="1">SUM(K7+M7+O7+Q7)</f>
        <v>1</v>
      </c>
      <c r="Z7" s="57"/>
      <c r="AA7" s="57"/>
    </row>
    <row r="8" spans="1:27" ht="74.25">
      <c r="A8" s="139">
        <v>3</v>
      </c>
      <c r="B8" s="141" t="s">
        <v>426</v>
      </c>
      <c r="C8" s="128" t="s">
        <v>427</v>
      </c>
      <c r="D8" s="140" t="s">
        <v>123</v>
      </c>
      <c r="E8" s="118" t="s">
        <v>46</v>
      </c>
      <c r="F8" s="117" t="s">
        <v>58</v>
      </c>
      <c r="G8" s="316" t="s">
        <v>131</v>
      </c>
      <c r="H8" s="120"/>
      <c r="I8" s="120" t="s">
        <v>38</v>
      </c>
      <c r="J8" s="121" t="s">
        <v>428</v>
      </c>
      <c r="K8" s="122">
        <v>0.25</v>
      </c>
      <c r="L8" s="148" t="s">
        <v>429</v>
      </c>
      <c r="M8" s="122">
        <v>0.25</v>
      </c>
      <c r="N8" s="148" t="s">
        <v>429</v>
      </c>
      <c r="O8" s="122">
        <v>0.25</v>
      </c>
      <c r="P8" s="295" t="s">
        <v>429</v>
      </c>
      <c r="Q8" s="122">
        <v>0.25</v>
      </c>
      <c r="R8" s="295" t="s">
        <v>429</v>
      </c>
      <c r="S8" s="124">
        <v>44562</v>
      </c>
      <c r="T8" s="124" t="s">
        <v>418</v>
      </c>
      <c r="U8" s="125"/>
      <c r="V8" s="125"/>
      <c r="W8" s="126"/>
      <c r="X8" s="126">
        <f t="shared" si="0"/>
        <v>0</v>
      </c>
      <c r="Y8" s="186">
        <f t="shared" si="1"/>
        <v>1</v>
      </c>
      <c r="Z8" s="57"/>
      <c r="AA8" s="57"/>
    </row>
    <row r="9" spans="1:27" ht="42.75">
      <c r="A9" s="139">
        <v>4</v>
      </c>
      <c r="B9" s="139" t="s">
        <v>430</v>
      </c>
      <c r="C9" s="142" t="s">
        <v>431</v>
      </c>
      <c r="D9" s="140" t="s">
        <v>123</v>
      </c>
      <c r="E9" s="118" t="s">
        <v>46</v>
      </c>
      <c r="F9" s="117" t="s">
        <v>432</v>
      </c>
      <c r="G9" s="316" t="s">
        <v>204</v>
      </c>
      <c r="H9" s="120"/>
      <c r="I9" s="120" t="s">
        <v>38</v>
      </c>
      <c r="J9" s="121" t="s">
        <v>433</v>
      </c>
      <c r="K9" s="122">
        <v>0.25</v>
      </c>
      <c r="L9" s="123" t="s">
        <v>434</v>
      </c>
      <c r="M9" s="122">
        <v>0.25</v>
      </c>
      <c r="N9" s="123" t="s">
        <v>434</v>
      </c>
      <c r="O9" s="122">
        <v>0.25</v>
      </c>
      <c r="P9" s="123" t="s">
        <v>434</v>
      </c>
      <c r="Q9" s="122">
        <v>0.25</v>
      </c>
      <c r="R9" s="123" t="s">
        <v>434</v>
      </c>
      <c r="S9" s="124">
        <v>44562</v>
      </c>
      <c r="T9" s="124" t="s">
        <v>418</v>
      </c>
      <c r="U9" s="125"/>
      <c r="V9" s="125"/>
      <c r="W9" s="126"/>
      <c r="X9" s="126">
        <f t="shared" si="0"/>
        <v>0</v>
      </c>
      <c r="Y9" s="186">
        <f t="shared" si="1"/>
        <v>1</v>
      </c>
      <c r="Z9" s="57"/>
      <c r="AA9" s="57"/>
    </row>
    <row r="10" spans="1:27" ht="42.75">
      <c r="A10" s="139">
        <v>5</v>
      </c>
      <c r="B10" s="141" t="s">
        <v>435</v>
      </c>
      <c r="C10" s="128" t="s">
        <v>431</v>
      </c>
      <c r="D10" s="140" t="s">
        <v>123</v>
      </c>
      <c r="E10" s="118" t="s">
        <v>46</v>
      </c>
      <c r="F10" s="117" t="s">
        <v>436</v>
      </c>
      <c r="G10" s="316" t="s">
        <v>204</v>
      </c>
      <c r="H10" s="120"/>
      <c r="I10" s="120" t="s">
        <v>38</v>
      </c>
      <c r="J10" s="121" t="s">
        <v>437</v>
      </c>
      <c r="K10" s="122">
        <v>0.25</v>
      </c>
      <c r="L10" s="123" t="s">
        <v>438</v>
      </c>
      <c r="M10" s="122">
        <v>0.25</v>
      </c>
      <c r="N10" s="123" t="s">
        <v>438</v>
      </c>
      <c r="O10" s="122">
        <v>0.25</v>
      </c>
      <c r="P10" s="123" t="s">
        <v>438</v>
      </c>
      <c r="Q10" s="122">
        <v>0.25</v>
      </c>
      <c r="R10" s="123" t="s">
        <v>438</v>
      </c>
      <c r="S10" s="124">
        <v>44562</v>
      </c>
      <c r="T10" s="124" t="s">
        <v>418</v>
      </c>
      <c r="U10" s="125"/>
      <c r="V10" s="125"/>
      <c r="W10" s="126"/>
      <c r="X10" s="126">
        <f t="shared" si="0"/>
        <v>0</v>
      </c>
      <c r="Y10" s="186">
        <f t="shared" si="1"/>
        <v>1</v>
      </c>
      <c r="Z10" s="57"/>
      <c r="AA10" s="57"/>
    </row>
    <row r="11" spans="1:27" ht="42.75">
      <c r="A11" s="139">
        <v>6</v>
      </c>
      <c r="B11" s="141" t="s">
        <v>439</v>
      </c>
      <c r="C11" s="128" t="s">
        <v>440</v>
      </c>
      <c r="D11" s="140" t="s">
        <v>123</v>
      </c>
      <c r="E11" s="118" t="s">
        <v>46</v>
      </c>
      <c r="F11" s="117" t="s">
        <v>436</v>
      </c>
      <c r="G11" s="316" t="s">
        <v>204</v>
      </c>
      <c r="H11" s="120"/>
      <c r="I11" s="120" t="s">
        <v>38</v>
      </c>
      <c r="J11" s="121" t="s">
        <v>441</v>
      </c>
      <c r="K11" s="122">
        <v>0.25</v>
      </c>
      <c r="L11" s="148" t="s">
        <v>442</v>
      </c>
      <c r="M11" s="122">
        <v>0.25</v>
      </c>
      <c r="N11" s="148" t="s">
        <v>442</v>
      </c>
      <c r="O11" s="122">
        <v>0.25</v>
      </c>
      <c r="P11" s="148" t="s">
        <v>442</v>
      </c>
      <c r="Q11" s="122">
        <v>0.25</v>
      </c>
      <c r="R11" s="148" t="s">
        <v>442</v>
      </c>
      <c r="S11" s="124">
        <v>44562</v>
      </c>
      <c r="T11" s="124" t="s">
        <v>418</v>
      </c>
      <c r="U11" s="125"/>
      <c r="V11" s="125"/>
      <c r="W11" s="126"/>
      <c r="X11" s="126">
        <f t="shared" si="0"/>
        <v>0</v>
      </c>
      <c r="Y11" s="186">
        <f t="shared" si="1"/>
        <v>1</v>
      </c>
      <c r="Z11" s="57"/>
      <c r="AA11" s="57"/>
    </row>
    <row r="12" spans="1:27" ht="19.5">
      <c r="K12" s="174">
        <f>SUM(K6:K11)/6</f>
        <v>0.25</v>
      </c>
      <c r="L12" s="174"/>
      <c r="M12" s="174">
        <f t="shared" ref="L12:R12" si="2">SUM(M6:M11)/6</f>
        <v>0.25</v>
      </c>
      <c r="N12" s="174"/>
      <c r="O12" s="174">
        <f t="shared" si="2"/>
        <v>0.25</v>
      </c>
      <c r="P12" s="174"/>
      <c r="Q12" s="174">
        <f t="shared" si="2"/>
        <v>0.25</v>
      </c>
      <c r="R12" s="174"/>
      <c r="Y12" s="175">
        <f>SUM(Y6:Y11)/6</f>
        <v>1</v>
      </c>
    </row>
    <row r="1048311" ht="15" customHeight="1"/>
  </sheetData>
  <autoFilter ref="A3:AA12" xr:uid="{00000000-0001-0000-0B00-000000000000}">
    <filterColumn colId="3" showButton="0"/>
    <filterColumn colId="4" showButton="0"/>
    <filterColumn colId="5" showButton="0"/>
    <filterColumn colId="6" showButton="0"/>
    <filterColumn colId="7"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20" showButton="0"/>
    <filterColumn colId="21" showButton="0"/>
    <filterColumn colId="22" showButton="0"/>
  </autoFilter>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B00-000000000000}">
          <x14:formula1>
            <xm:f>'Hoja Formulación'!$C$6:$C$17</xm:f>
          </x14:formula1>
          <xm:sqref>E6:E11</xm:sqref>
        </x14:dataValidation>
        <x14:dataValidation type="list" allowBlank="1" showInputMessage="1" showErrorMessage="1" xr:uid="{00000000-0002-0000-0B00-000001000000}">
          <x14:formula1>
            <xm:f>'Hoja Formulación'!$E$6:$E$16</xm:f>
          </x14:formula1>
          <xm:sqref>G6:G11</xm:sqref>
        </x14:dataValidation>
        <x14:dataValidation type="list" allowBlank="1" showInputMessage="1" showErrorMessage="1" xr:uid="{00000000-0002-0000-0B00-000002000000}">
          <x14:formula1>
            <xm:f>'Hoja Formulación'!$D$6:$D$23</xm:f>
          </x14:formula1>
          <xm:sqref>F6:F11</xm:sqref>
        </x14:dataValidation>
        <x14:dataValidation type="list" allowBlank="1" showInputMessage="1" showErrorMessage="1" xr:uid="{00000000-0002-0000-0B00-000003000000}">
          <x14:formula1>
            <xm:f>'Hoja Formulación'!$C$6:$C$16</xm:f>
          </x14:formula1>
          <xm:sqref>E4:E5</xm:sqref>
        </x14:dataValidation>
        <x14:dataValidation type="list" allowBlank="1" showInputMessage="1" showErrorMessage="1" xr:uid="{00000000-0002-0000-0B00-000004000000}">
          <x14:formula1>
            <xm:f>'Hoja Formulación'!$B$6:$B$8</xm:f>
          </x14:formula1>
          <xm:sqref>D4:D11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048308"/>
  <sheetViews>
    <sheetView topLeftCell="C1" zoomScale="130" zoomScaleNormal="130" workbookViewId="0">
      <selection activeCell="S10" sqref="S10"/>
    </sheetView>
  </sheetViews>
  <sheetFormatPr defaultColWidth="11.42578125" defaultRowHeight="12.75"/>
  <cols>
    <col min="1" max="1" width="11.42578125" style="38"/>
    <col min="2" max="2" width="11.42578125" style="7"/>
    <col min="3" max="3" width="22.28515625" style="7" customWidth="1"/>
    <col min="4" max="4" width="30.28515625" style="7" bestFit="1" customWidth="1"/>
    <col min="5" max="5" width="6.7109375" style="36" bestFit="1" customWidth="1"/>
    <col min="6" max="6" width="37.5703125" style="7" bestFit="1" customWidth="1"/>
    <col min="7" max="7" width="32.28515625" style="42" bestFit="1" customWidth="1"/>
    <col min="8" max="9" width="11.42578125" style="7" customWidth="1"/>
    <col min="10" max="10" width="14"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50" t="s">
        <v>1</v>
      </c>
      <c r="B3" s="350" t="s">
        <v>2</v>
      </c>
      <c r="C3" s="351" t="s">
        <v>3</v>
      </c>
      <c r="D3" s="350" t="s">
        <v>4</v>
      </c>
      <c r="E3" s="350"/>
      <c r="F3" s="350"/>
      <c r="G3" s="350"/>
      <c r="H3" s="350"/>
      <c r="I3" s="350"/>
      <c r="J3" s="350" t="s">
        <v>5</v>
      </c>
      <c r="K3" s="350" t="s">
        <v>6</v>
      </c>
      <c r="L3" s="350"/>
      <c r="M3" s="350"/>
      <c r="N3" s="350"/>
      <c r="O3" s="350"/>
      <c r="P3" s="350"/>
      <c r="Q3" s="350"/>
      <c r="R3" s="350"/>
      <c r="S3" s="350" t="s">
        <v>7</v>
      </c>
      <c r="T3" s="350"/>
      <c r="U3" s="350" t="s">
        <v>8</v>
      </c>
      <c r="V3" s="350"/>
      <c r="W3" s="350"/>
      <c r="X3" s="350"/>
      <c r="Y3" s="350" t="s">
        <v>9</v>
      </c>
      <c r="Z3" s="350" t="s">
        <v>10</v>
      </c>
      <c r="AA3" s="350" t="s">
        <v>11</v>
      </c>
    </row>
    <row r="4" spans="1:27" ht="24" customHeight="1">
      <c r="A4" s="350"/>
      <c r="B4" s="350"/>
      <c r="C4" s="351"/>
      <c r="D4" s="352" t="s">
        <v>12</v>
      </c>
      <c r="E4" s="352" t="s">
        <v>13</v>
      </c>
      <c r="F4" s="350" t="s">
        <v>14</v>
      </c>
      <c r="G4" s="130" t="s">
        <v>15</v>
      </c>
      <c r="H4" s="350" t="s">
        <v>16</v>
      </c>
      <c r="I4" s="350"/>
      <c r="J4" s="350"/>
      <c r="K4" s="353" t="s">
        <v>17</v>
      </c>
      <c r="L4" s="353"/>
      <c r="M4" s="353" t="s">
        <v>18</v>
      </c>
      <c r="N4" s="353"/>
      <c r="O4" s="353" t="s">
        <v>19</v>
      </c>
      <c r="P4" s="353"/>
      <c r="Q4" s="353" t="s">
        <v>20</v>
      </c>
      <c r="R4" s="353"/>
      <c r="S4" s="354" t="s">
        <v>21</v>
      </c>
      <c r="T4" s="354" t="s">
        <v>22</v>
      </c>
      <c r="U4" s="354" t="s">
        <v>23</v>
      </c>
      <c r="V4" s="354" t="s">
        <v>24</v>
      </c>
      <c r="W4" s="350" t="s">
        <v>25</v>
      </c>
      <c r="X4" s="350" t="s">
        <v>26</v>
      </c>
      <c r="Y4" s="350"/>
      <c r="Z4" s="350"/>
      <c r="AA4" s="350"/>
    </row>
    <row r="5" spans="1:27" ht="17.25" customHeight="1">
      <c r="A5" s="350"/>
      <c r="B5" s="350"/>
      <c r="C5" s="351"/>
      <c r="D5" s="352"/>
      <c r="E5" s="352"/>
      <c r="F5" s="350"/>
      <c r="G5" s="130" t="s">
        <v>27</v>
      </c>
      <c r="H5" s="129" t="s">
        <v>28</v>
      </c>
      <c r="I5" s="129" t="s">
        <v>29</v>
      </c>
      <c r="J5" s="350"/>
      <c r="K5" s="129" t="s">
        <v>30</v>
      </c>
      <c r="L5" s="129" t="s">
        <v>31</v>
      </c>
      <c r="M5" s="129" t="s">
        <v>30</v>
      </c>
      <c r="N5" s="129" t="s">
        <v>31</v>
      </c>
      <c r="O5" s="129" t="s">
        <v>30</v>
      </c>
      <c r="P5" s="129" t="s">
        <v>31</v>
      </c>
      <c r="Q5" s="129" t="s">
        <v>30</v>
      </c>
      <c r="R5" s="129" t="s">
        <v>31</v>
      </c>
      <c r="S5" s="354"/>
      <c r="T5" s="354"/>
      <c r="U5" s="354"/>
      <c r="V5" s="354"/>
      <c r="W5" s="350"/>
      <c r="X5" s="350"/>
      <c r="Y5" s="350"/>
      <c r="Z5" s="350"/>
      <c r="AA5" s="350"/>
    </row>
    <row r="6" spans="1:27" ht="84.75">
      <c r="A6" s="139">
        <v>1</v>
      </c>
      <c r="B6" s="143" t="s">
        <v>443</v>
      </c>
      <c r="C6" s="128" t="s">
        <v>444</v>
      </c>
      <c r="D6" s="117" t="s">
        <v>34</v>
      </c>
      <c r="E6" s="118" t="s">
        <v>46</v>
      </c>
      <c r="F6" s="117" t="s">
        <v>272</v>
      </c>
      <c r="G6" s="119" t="s">
        <v>48</v>
      </c>
      <c r="H6" s="120"/>
      <c r="I6" s="120" t="s">
        <v>38</v>
      </c>
      <c r="J6" s="121" t="s">
        <v>445</v>
      </c>
      <c r="K6" s="122">
        <v>0.25</v>
      </c>
      <c r="L6" s="123" t="s">
        <v>446</v>
      </c>
      <c r="M6" s="122">
        <v>0</v>
      </c>
      <c r="N6" s="123"/>
      <c r="O6" s="122">
        <v>0</v>
      </c>
      <c r="P6" s="123"/>
      <c r="Q6" s="122">
        <v>0</v>
      </c>
      <c r="R6" s="123"/>
      <c r="S6" s="124">
        <v>45292</v>
      </c>
      <c r="T6" s="124" t="s">
        <v>447</v>
      </c>
      <c r="U6" s="125"/>
      <c r="V6" s="125"/>
      <c r="W6" s="126"/>
      <c r="X6" s="126">
        <f t="shared" ref="X6:X8" si="0">SUM(U6+V6+W6)</f>
        <v>0</v>
      </c>
      <c r="Y6" s="159">
        <f>SUM(K6+M6+O6+Q6)</f>
        <v>0.25</v>
      </c>
      <c r="Z6" s="57"/>
      <c r="AA6" s="57"/>
    </row>
    <row r="7" spans="1:27" ht="84.75">
      <c r="A7" s="139">
        <v>2</v>
      </c>
      <c r="B7" s="144" t="s">
        <v>448</v>
      </c>
      <c r="C7" s="128" t="s">
        <v>449</v>
      </c>
      <c r="D7" s="117" t="s">
        <v>34</v>
      </c>
      <c r="E7" s="118" t="s">
        <v>46</v>
      </c>
      <c r="F7" s="127" t="s">
        <v>272</v>
      </c>
      <c r="G7" s="119" t="s">
        <v>48</v>
      </c>
      <c r="H7" s="120"/>
      <c r="I7" s="120" t="s">
        <v>38</v>
      </c>
      <c r="J7" s="121" t="s">
        <v>445</v>
      </c>
      <c r="K7" s="122">
        <v>0</v>
      </c>
      <c r="L7" s="123" t="s">
        <v>450</v>
      </c>
      <c r="M7" s="122">
        <v>0</v>
      </c>
      <c r="N7" s="123"/>
      <c r="O7" s="122">
        <v>0</v>
      </c>
      <c r="P7" s="123"/>
      <c r="Q7" s="122">
        <v>0</v>
      </c>
      <c r="R7" s="123"/>
      <c r="S7" s="124"/>
      <c r="T7" s="124" t="s">
        <v>451</v>
      </c>
      <c r="U7" s="125"/>
      <c r="V7" s="125"/>
      <c r="W7" s="126"/>
      <c r="X7" s="126">
        <f t="shared" si="0"/>
        <v>0</v>
      </c>
      <c r="Y7" s="159">
        <f t="shared" ref="Y7:Y8" si="1">SUM(K7+M7+O7+Q7)</f>
        <v>0</v>
      </c>
      <c r="Z7" s="57"/>
      <c r="AA7" s="57"/>
    </row>
    <row r="8" spans="1:27" ht="52.5">
      <c r="A8" s="139">
        <v>3</v>
      </c>
      <c r="B8" s="144" t="s">
        <v>452</v>
      </c>
      <c r="C8" s="128" t="s">
        <v>453</v>
      </c>
      <c r="D8" s="117" t="s">
        <v>34</v>
      </c>
      <c r="E8" s="118" t="s">
        <v>46</v>
      </c>
      <c r="F8" s="127" t="s">
        <v>272</v>
      </c>
      <c r="G8" s="119" t="s">
        <v>48</v>
      </c>
      <c r="H8" s="120"/>
      <c r="I8" s="120" t="s">
        <v>38</v>
      </c>
      <c r="J8" s="121" t="s">
        <v>445</v>
      </c>
      <c r="K8" s="122">
        <v>0.25</v>
      </c>
      <c r="L8" s="123" t="s">
        <v>454</v>
      </c>
      <c r="M8" s="122">
        <v>0</v>
      </c>
      <c r="N8" s="123"/>
      <c r="O8" s="122">
        <v>0</v>
      </c>
      <c r="P8" s="123"/>
      <c r="Q8" s="122">
        <v>0</v>
      </c>
      <c r="R8" s="123"/>
      <c r="S8" s="124"/>
      <c r="T8" s="124" t="s">
        <v>451</v>
      </c>
      <c r="U8" s="125"/>
      <c r="V8" s="125"/>
      <c r="W8" s="126"/>
      <c r="X8" s="126">
        <f t="shared" si="0"/>
        <v>0</v>
      </c>
      <c r="Y8" s="159">
        <f t="shared" si="1"/>
        <v>0.25</v>
      </c>
      <c r="Z8" s="57"/>
      <c r="AA8" s="57"/>
    </row>
    <row r="9" spans="1:27" ht="19.5">
      <c r="K9" s="174">
        <f>SUM(K6:K8)/3</f>
        <v>0.16666666666666666</v>
      </c>
      <c r="L9" s="174"/>
      <c r="M9" s="174">
        <f t="shared" ref="L9:R9" si="2">SUM(M6:M8)/3</f>
        <v>0</v>
      </c>
      <c r="N9" s="174"/>
      <c r="O9" s="174">
        <f t="shared" si="2"/>
        <v>0</v>
      </c>
      <c r="P9" s="174"/>
      <c r="Q9" s="174">
        <f t="shared" si="2"/>
        <v>0</v>
      </c>
      <c r="R9" s="174"/>
      <c r="Y9" s="174">
        <f>SUM(Y6:Y8)/3</f>
        <v>0.16666666666666666</v>
      </c>
    </row>
    <row r="1048308"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C00-000000000000}">
          <x14:formula1>
            <xm:f>'Hoja Formulación'!$C$6:$C$17</xm:f>
          </x14:formula1>
          <xm:sqref>E6:E8</xm:sqref>
        </x14:dataValidation>
        <x14:dataValidation type="list" allowBlank="1" showInputMessage="1" showErrorMessage="1" xr:uid="{00000000-0002-0000-0C00-000001000000}">
          <x14:formula1>
            <xm:f>'Hoja Formulación'!$E$6:$E$16</xm:f>
          </x14:formula1>
          <xm:sqref>G6:G8</xm:sqref>
        </x14:dataValidation>
        <x14:dataValidation type="list" allowBlank="1" showInputMessage="1" showErrorMessage="1" xr:uid="{00000000-0002-0000-0C00-000002000000}">
          <x14:formula1>
            <xm:f>'Hoja Formulación'!$D$6:$D$23</xm:f>
          </x14:formula1>
          <xm:sqref>F6:F8</xm:sqref>
        </x14:dataValidation>
        <x14:dataValidation type="list" allowBlank="1" showInputMessage="1" showErrorMessage="1" xr:uid="{00000000-0002-0000-0C00-000003000000}">
          <x14:formula1>
            <xm:f>'Hoja Formulación'!$C$6:$C$16</xm:f>
          </x14:formula1>
          <xm:sqref>E4:E5</xm:sqref>
        </x14:dataValidation>
        <x14:dataValidation type="list" allowBlank="1" showInputMessage="1" showErrorMessage="1" xr:uid="{00000000-0002-0000-0C00-000004000000}">
          <x14:formula1>
            <xm:f>'Hoja Formulación'!$B$6:$B$8</xm:f>
          </x14:formula1>
          <xm:sqref>D4:D8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1048309"/>
  <sheetViews>
    <sheetView topLeftCell="G7" zoomScale="130" zoomScaleNormal="130" workbookViewId="0">
      <selection activeCell="O18" sqref="O18"/>
    </sheetView>
  </sheetViews>
  <sheetFormatPr defaultColWidth="11.42578125" defaultRowHeight="12.75" customHeight="1"/>
  <cols>
    <col min="1" max="1" width="8" style="7" customWidth="1"/>
    <col min="2" max="2" width="20.85546875" style="7" customWidth="1"/>
    <col min="3" max="3" width="22.28515625" style="7" customWidth="1"/>
    <col min="4" max="4" width="15.28515625" style="7" customWidth="1"/>
    <col min="5" max="5" width="7.5703125" style="36" customWidth="1"/>
    <col min="6" max="6" width="13.28515625" style="7" customWidth="1"/>
    <col min="7" max="7" width="16.5703125" style="42" customWidth="1"/>
    <col min="8" max="8" width="6.42578125" style="7" customWidth="1"/>
    <col min="9" max="9" width="7.7109375" style="7" customWidth="1"/>
    <col min="10" max="10" width="11.28515625"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5" width="13.42578125" style="7" customWidth="1"/>
    <col min="26" max="26" width="11.42578125" style="7" customWidth="1"/>
    <col min="27" max="28" width="15.85546875" style="7" customWidth="1"/>
    <col min="29" max="16365" width="11.42578125" style="7" customWidth="1"/>
    <col min="16366" max="16384" width="11.42578125" style="7"/>
  </cols>
  <sheetData>
    <row r="1" spans="1:28"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row>
    <row r="2" spans="1:28">
      <c r="B2" s="355"/>
      <c r="C2" s="355"/>
      <c r="D2" s="38"/>
      <c r="E2" s="35"/>
      <c r="F2" s="9"/>
      <c r="G2" s="40"/>
      <c r="H2" s="9"/>
      <c r="I2" s="9"/>
      <c r="J2" s="9"/>
      <c r="K2" s="9"/>
      <c r="L2" s="9"/>
      <c r="M2" s="9"/>
      <c r="N2" s="9"/>
      <c r="O2" s="9"/>
      <c r="P2" s="9"/>
      <c r="Q2" s="9"/>
      <c r="R2" s="9"/>
      <c r="S2" s="9"/>
      <c r="T2" s="9"/>
      <c r="U2" s="9"/>
      <c r="V2" s="9"/>
      <c r="W2" s="9"/>
      <c r="X2" s="9"/>
      <c r="Y2" s="9"/>
      <c r="Z2" s="9"/>
      <c r="AA2" s="9"/>
      <c r="AB2" s="9"/>
    </row>
    <row r="3" spans="1:28"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28" t="s">
        <v>455</v>
      </c>
      <c r="Z3" s="330" t="s">
        <v>9</v>
      </c>
      <c r="AA3" s="330" t="s">
        <v>10</v>
      </c>
      <c r="AB3" s="330" t="s">
        <v>11</v>
      </c>
    </row>
    <row r="4" spans="1:28"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29"/>
      <c r="Z4" s="330"/>
      <c r="AA4" s="330"/>
      <c r="AB4" s="330"/>
    </row>
    <row r="5" spans="1:28"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3"/>
      <c r="Z5" s="330"/>
      <c r="AA5" s="330"/>
      <c r="AB5" s="330"/>
    </row>
    <row r="6" spans="1:28" ht="148.5">
      <c r="A6" s="48">
        <v>1</v>
      </c>
      <c r="B6" s="46" t="s">
        <v>456</v>
      </c>
      <c r="C6" s="19" t="s">
        <v>457</v>
      </c>
      <c r="D6" s="37" t="s">
        <v>123</v>
      </c>
      <c r="E6" s="34" t="s">
        <v>46</v>
      </c>
      <c r="F6" s="29" t="s">
        <v>458</v>
      </c>
      <c r="G6" s="70" t="s">
        <v>48</v>
      </c>
      <c r="H6" s="28"/>
      <c r="I6" s="28" t="s">
        <v>49</v>
      </c>
      <c r="J6" s="4" t="s">
        <v>459</v>
      </c>
      <c r="K6" s="44">
        <v>0.25</v>
      </c>
      <c r="L6" s="20" t="s">
        <v>460</v>
      </c>
      <c r="M6" s="44">
        <v>0.25</v>
      </c>
      <c r="N6" s="20" t="s">
        <v>461</v>
      </c>
      <c r="O6" s="44">
        <v>0.25</v>
      </c>
      <c r="P6" s="20" t="s">
        <v>462</v>
      </c>
      <c r="Q6" s="44">
        <v>0.2</v>
      </c>
      <c r="R6" s="20" t="s">
        <v>463</v>
      </c>
      <c r="S6" s="21">
        <v>44958</v>
      </c>
      <c r="T6" s="21" t="s">
        <v>464</v>
      </c>
      <c r="U6" s="22">
        <v>0</v>
      </c>
      <c r="V6" s="22" t="s">
        <v>465</v>
      </c>
      <c r="W6" s="23"/>
      <c r="X6" s="23">
        <v>0</v>
      </c>
      <c r="Y6" s="23"/>
      <c r="Z6" s="145">
        <f t="shared" ref="Z6:Z9" si="0">SUM(K6+M6+O6+Q6)</f>
        <v>0.95</v>
      </c>
      <c r="AA6" s="47">
        <v>0</v>
      </c>
      <c r="AB6" s="24"/>
    </row>
    <row r="7" spans="1:28" ht="190.5">
      <c r="A7" s="48">
        <v>2</v>
      </c>
      <c r="B7" s="46" t="s">
        <v>466</v>
      </c>
      <c r="C7" s="97" t="s">
        <v>467</v>
      </c>
      <c r="D7" s="37" t="s">
        <v>123</v>
      </c>
      <c r="E7" s="34" t="s">
        <v>46</v>
      </c>
      <c r="F7" s="29" t="s">
        <v>458</v>
      </c>
      <c r="G7" s="70" t="s">
        <v>48</v>
      </c>
      <c r="H7" s="28"/>
      <c r="I7" s="28" t="s">
        <v>49</v>
      </c>
      <c r="J7" s="4" t="s">
        <v>459</v>
      </c>
      <c r="K7" s="44">
        <v>0.25</v>
      </c>
      <c r="L7" s="20" t="s">
        <v>468</v>
      </c>
      <c r="M7" s="44">
        <v>0.25</v>
      </c>
      <c r="N7" s="20" t="s">
        <v>469</v>
      </c>
      <c r="O7" s="44">
        <v>0.25</v>
      </c>
      <c r="P7" s="20" t="s">
        <v>470</v>
      </c>
      <c r="Q7" s="44">
        <v>0.05</v>
      </c>
      <c r="R7" s="20" t="s">
        <v>471</v>
      </c>
      <c r="S7" s="21">
        <v>44927</v>
      </c>
      <c r="T7" s="21" t="s">
        <v>63</v>
      </c>
      <c r="U7" s="22">
        <v>0</v>
      </c>
      <c r="V7" s="22" t="s">
        <v>472</v>
      </c>
      <c r="W7" s="23"/>
      <c r="X7" s="23">
        <v>0</v>
      </c>
      <c r="Y7" s="23"/>
      <c r="Z7" s="145">
        <f>SUM(K7+M7+O7+Q7)</f>
        <v>0.8</v>
      </c>
      <c r="AA7" s="47">
        <v>0</v>
      </c>
      <c r="AB7" s="24"/>
    </row>
    <row r="8" spans="1:28" ht="127.5">
      <c r="A8" s="48">
        <v>3</v>
      </c>
      <c r="B8" s="305" t="s">
        <v>473</v>
      </c>
      <c r="C8" s="279" t="s">
        <v>474</v>
      </c>
      <c r="D8" s="96" t="s">
        <v>123</v>
      </c>
      <c r="E8" s="34" t="s">
        <v>46</v>
      </c>
      <c r="F8" s="29" t="s">
        <v>458</v>
      </c>
      <c r="G8" s="70" t="s">
        <v>48</v>
      </c>
      <c r="H8" s="28"/>
      <c r="I8" s="28" t="s">
        <v>49</v>
      </c>
      <c r="J8" s="4" t="s">
        <v>459</v>
      </c>
      <c r="K8" s="44">
        <v>0.25</v>
      </c>
      <c r="L8" s="20" t="s">
        <v>475</v>
      </c>
      <c r="M8" s="44">
        <v>0.25</v>
      </c>
      <c r="N8" s="20" t="s">
        <v>476</v>
      </c>
      <c r="O8" s="44">
        <v>0.2</v>
      </c>
      <c r="P8" s="20" t="s">
        <v>477</v>
      </c>
      <c r="Q8" s="44">
        <v>0.05</v>
      </c>
      <c r="R8" s="20" t="s">
        <v>478</v>
      </c>
      <c r="S8" s="21">
        <v>44928</v>
      </c>
      <c r="T8" s="21" t="s">
        <v>63</v>
      </c>
      <c r="U8" s="22"/>
      <c r="V8" s="22" t="s">
        <v>479</v>
      </c>
      <c r="W8" s="23"/>
      <c r="X8" s="23" t="e">
        <f t="shared" ref="X6:X9" si="1">SUM(U8+V8+W8)</f>
        <v>#VALUE!</v>
      </c>
      <c r="Y8" s="23"/>
      <c r="Z8" s="145">
        <f t="shared" si="0"/>
        <v>0.75</v>
      </c>
      <c r="AA8" s="47">
        <v>0</v>
      </c>
      <c r="AB8" s="24"/>
    </row>
    <row r="9" spans="1:28" ht="107.25">
      <c r="A9" s="71">
        <v>4</v>
      </c>
      <c r="B9" s="146" t="s">
        <v>480</v>
      </c>
      <c r="C9" s="98" t="s">
        <v>481</v>
      </c>
      <c r="D9" s="37" t="s">
        <v>123</v>
      </c>
      <c r="E9" s="34" t="s">
        <v>46</v>
      </c>
      <c r="F9" s="29" t="s">
        <v>458</v>
      </c>
      <c r="G9" s="70" t="s">
        <v>48</v>
      </c>
      <c r="H9" s="28"/>
      <c r="I9" s="28" t="s">
        <v>49</v>
      </c>
      <c r="J9" s="4" t="s">
        <v>482</v>
      </c>
      <c r="K9" s="44">
        <v>0</v>
      </c>
      <c r="L9" s="153" t="s">
        <v>483</v>
      </c>
      <c r="M9" s="44">
        <v>0</v>
      </c>
      <c r="N9" s="153" t="s">
        <v>483</v>
      </c>
      <c r="O9" s="44">
        <v>0.05</v>
      </c>
      <c r="P9" s="20" t="s">
        <v>484</v>
      </c>
      <c r="Q9" s="44">
        <v>0</v>
      </c>
      <c r="R9" s="20" t="s">
        <v>485</v>
      </c>
      <c r="S9" s="21">
        <v>44929</v>
      </c>
      <c r="T9" s="21" t="s">
        <v>63</v>
      </c>
      <c r="U9" s="22"/>
      <c r="V9" s="22" t="s">
        <v>486</v>
      </c>
      <c r="W9" s="23"/>
      <c r="X9" s="23" t="e">
        <f t="shared" si="1"/>
        <v>#VALUE!</v>
      </c>
      <c r="Y9" s="23"/>
      <c r="Z9" s="145">
        <f t="shared" si="0"/>
        <v>0.05</v>
      </c>
      <c r="AA9" s="47">
        <v>0</v>
      </c>
      <c r="AB9" s="24"/>
    </row>
    <row r="10" spans="1:28" ht="12.75" customHeight="1">
      <c r="K10" s="175">
        <f>SUM(K6:K9)/4</f>
        <v>0.1875</v>
      </c>
      <c r="L10" s="175"/>
      <c r="M10" s="175">
        <f t="shared" ref="L10:Q10" si="2">SUM(M6:M9)/4</f>
        <v>0.1875</v>
      </c>
      <c r="N10" s="175"/>
      <c r="O10" s="175">
        <f t="shared" si="2"/>
        <v>0.1875</v>
      </c>
      <c r="P10" s="175"/>
      <c r="Q10" s="175">
        <f t="shared" si="2"/>
        <v>7.4999999999999997E-2</v>
      </c>
      <c r="Z10" s="174">
        <f>SUM(Z6:Z9)/4</f>
        <v>0.63749999999999996</v>
      </c>
    </row>
    <row r="17" spans="15:15" ht="12.75" customHeight="1">
      <c r="O17" s="7">
        <f>105/4</f>
        <v>26.25</v>
      </c>
    </row>
    <row r="1048309" ht="15" customHeight="1"/>
  </sheetData>
  <mergeCells count="28">
    <mergeCell ref="AA3:AA5"/>
    <mergeCell ref="Y3:Y5"/>
    <mergeCell ref="C3:C5"/>
    <mergeCell ref="E4:E5"/>
    <mergeCell ref="F4:F5"/>
    <mergeCell ref="U4:U5"/>
    <mergeCell ref="V4:V5"/>
    <mergeCell ref="X4:X5"/>
    <mergeCell ref="S3:T3"/>
    <mergeCell ref="S4:S5"/>
    <mergeCell ref="T4:T5"/>
    <mergeCell ref="W4:W5"/>
    <mergeCell ref="B2:C2"/>
    <mergeCell ref="A1:AB1"/>
    <mergeCell ref="A3:A5"/>
    <mergeCell ref="K4:L4"/>
    <mergeCell ref="M4:N4"/>
    <mergeCell ref="O4:P4"/>
    <mergeCell ref="Q4:R4"/>
    <mergeCell ref="K3:R3"/>
    <mergeCell ref="B3:B5"/>
    <mergeCell ref="J3:J5"/>
    <mergeCell ref="D3:I3"/>
    <mergeCell ref="D4:D5"/>
    <mergeCell ref="H4:I4"/>
    <mergeCell ref="AB3:AB5"/>
    <mergeCell ref="U3:X3"/>
    <mergeCell ref="Z3:Z5"/>
  </mergeCells>
  <pageMargins left="0.7" right="0.7" top="0.75" bottom="0.75" header="0.3" footer="0.3"/>
  <pageSetup paperSize="9" fitToWidth="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1000000}">
          <x14:formula1>
            <xm:f>'Hoja Formulación'!$C$6:$C$16</xm:f>
          </x14:formula1>
          <xm:sqref>E4:E5</xm:sqref>
        </x14:dataValidation>
        <x14:dataValidation type="list" allowBlank="1" showInputMessage="1" showErrorMessage="1" xr:uid="{00000000-0002-0000-0E00-000000000000}">
          <x14:formula1>
            <xm:f>'Hoja Formulación'!$B$6:$B$8</xm:f>
          </x14:formula1>
          <xm:sqref>D4:D9</xm:sqref>
        </x14:dataValidation>
        <x14:dataValidation type="list" allowBlank="1" showInputMessage="1" showErrorMessage="1" xr:uid="{00000000-0002-0000-0E00-000002000000}">
          <x14:formula1>
            <xm:f>'Hoja Formulación'!$D$6:$D$23</xm:f>
          </x14:formula1>
          <xm:sqref>F6:F9</xm:sqref>
        </x14:dataValidation>
        <x14:dataValidation type="list" allowBlank="1" showInputMessage="1" showErrorMessage="1" xr:uid="{00000000-0002-0000-0E00-000003000000}">
          <x14:formula1>
            <xm:f>'Hoja Formulación'!$E$6:$E$16</xm:f>
          </x14:formula1>
          <xm:sqref>G6:G9</xm:sqref>
        </x14:dataValidation>
        <x14:dataValidation type="list" allowBlank="1" showInputMessage="1" showErrorMessage="1" xr:uid="{00000000-0002-0000-0E00-000004000000}">
          <x14:formula1>
            <xm:f>'Hoja Formulación'!$C$6:$C$17</xm:f>
          </x14:formula1>
          <xm:sqref>E6:E9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048307"/>
  <sheetViews>
    <sheetView topLeftCell="D1" zoomScale="130" zoomScaleNormal="130" workbookViewId="0">
      <selection activeCell="Q6" sqref="Q6"/>
    </sheetView>
  </sheetViews>
  <sheetFormatPr defaultColWidth="11.42578125" defaultRowHeight="10.5"/>
  <cols>
    <col min="1" max="1" width="3.42578125" style="7" bestFit="1" customWidth="1"/>
    <col min="2" max="2" width="33.42578125" style="7" customWidth="1"/>
    <col min="3" max="3" width="22.28515625" style="7" customWidth="1"/>
    <col min="4" max="4" width="30.28515625" style="7" bestFit="1" customWidth="1"/>
    <col min="5" max="5" width="6.7109375" style="36" bestFit="1" customWidth="1"/>
    <col min="6" max="6" width="38" style="7" bestFit="1" customWidth="1"/>
    <col min="7" max="7" width="47.7109375" style="42" bestFit="1" customWidth="1"/>
    <col min="8" max="9" width="11.42578125" style="7" customWidth="1"/>
    <col min="10" max="10" width="14"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50" t="s">
        <v>1</v>
      </c>
      <c r="B3" s="350" t="s">
        <v>2</v>
      </c>
      <c r="C3" s="351" t="s">
        <v>3</v>
      </c>
      <c r="D3" s="350" t="s">
        <v>4</v>
      </c>
      <c r="E3" s="350"/>
      <c r="F3" s="350"/>
      <c r="G3" s="350"/>
      <c r="H3" s="350"/>
      <c r="I3" s="350"/>
      <c r="J3" s="350" t="s">
        <v>5</v>
      </c>
      <c r="K3" s="350" t="s">
        <v>6</v>
      </c>
      <c r="L3" s="350"/>
      <c r="M3" s="350"/>
      <c r="N3" s="350"/>
      <c r="O3" s="350"/>
      <c r="P3" s="350"/>
      <c r="Q3" s="350"/>
      <c r="R3" s="350"/>
      <c r="S3" s="350" t="s">
        <v>7</v>
      </c>
      <c r="T3" s="350"/>
      <c r="U3" s="350" t="s">
        <v>8</v>
      </c>
      <c r="V3" s="350"/>
      <c r="W3" s="350"/>
      <c r="X3" s="350"/>
      <c r="Y3" s="350" t="s">
        <v>9</v>
      </c>
      <c r="Z3" s="350" t="s">
        <v>10</v>
      </c>
      <c r="AA3" s="350" t="s">
        <v>11</v>
      </c>
    </row>
    <row r="4" spans="1:27" ht="24" customHeight="1">
      <c r="A4" s="350"/>
      <c r="B4" s="350"/>
      <c r="C4" s="351"/>
      <c r="D4" s="352" t="s">
        <v>12</v>
      </c>
      <c r="E4" s="352" t="s">
        <v>13</v>
      </c>
      <c r="F4" s="350" t="s">
        <v>14</v>
      </c>
      <c r="G4" s="130" t="s">
        <v>15</v>
      </c>
      <c r="H4" s="350" t="s">
        <v>16</v>
      </c>
      <c r="I4" s="350"/>
      <c r="J4" s="350"/>
      <c r="K4" s="353" t="s">
        <v>17</v>
      </c>
      <c r="L4" s="353"/>
      <c r="M4" s="353" t="s">
        <v>18</v>
      </c>
      <c r="N4" s="353"/>
      <c r="O4" s="353" t="s">
        <v>19</v>
      </c>
      <c r="P4" s="353"/>
      <c r="Q4" s="353" t="s">
        <v>20</v>
      </c>
      <c r="R4" s="353"/>
      <c r="S4" s="354" t="s">
        <v>21</v>
      </c>
      <c r="T4" s="354" t="s">
        <v>22</v>
      </c>
      <c r="U4" s="354" t="s">
        <v>23</v>
      </c>
      <c r="V4" s="354" t="s">
        <v>24</v>
      </c>
      <c r="W4" s="350" t="s">
        <v>25</v>
      </c>
      <c r="X4" s="350" t="s">
        <v>26</v>
      </c>
      <c r="Y4" s="350"/>
      <c r="Z4" s="350"/>
      <c r="AA4" s="350"/>
    </row>
    <row r="5" spans="1:27" ht="17.25" customHeight="1">
      <c r="A5" s="350"/>
      <c r="B5" s="350"/>
      <c r="C5" s="351"/>
      <c r="D5" s="352"/>
      <c r="E5" s="352"/>
      <c r="F5" s="350"/>
      <c r="G5" s="130" t="s">
        <v>27</v>
      </c>
      <c r="H5" s="129" t="s">
        <v>28</v>
      </c>
      <c r="I5" s="129" t="s">
        <v>29</v>
      </c>
      <c r="J5" s="350"/>
      <c r="K5" s="129" t="s">
        <v>30</v>
      </c>
      <c r="L5" s="129" t="s">
        <v>31</v>
      </c>
      <c r="M5" s="129" t="s">
        <v>30</v>
      </c>
      <c r="N5" s="129" t="s">
        <v>31</v>
      </c>
      <c r="O5" s="129" t="s">
        <v>30</v>
      </c>
      <c r="P5" s="129" t="s">
        <v>31</v>
      </c>
      <c r="Q5" s="129" t="s">
        <v>30</v>
      </c>
      <c r="R5" s="129" t="s">
        <v>31</v>
      </c>
      <c r="S5" s="354"/>
      <c r="T5" s="354"/>
      <c r="U5" s="354"/>
      <c r="V5" s="354"/>
      <c r="W5" s="350"/>
      <c r="X5" s="350"/>
      <c r="Y5" s="350"/>
      <c r="Z5" s="350"/>
      <c r="AA5" s="350"/>
    </row>
    <row r="6" spans="1:27" ht="127.5">
      <c r="A6" s="114">
        <v>1</v>
      </c>
      <c r="B6" s="141" t="s">
        <v>487</v>
      </c>
      <c r="C6" s="128" t="s">
        <v>488</v>
      </c>
      <c r="D6" s="117" t="s">
        <v>123</v>
      </c>
      <c r="E6" s="118" t="s">
        <v>46</v>
      </c>
      <c r="F6" s="117" t="s">
        <v>489</v>
      </c>
      <c r="G6" s="119" t="s">
        <v>59</v>
      </c>
      <c r="H6" s="120"/>
      <c r="I6" s="120" t="s">
        <v>38</v>
      </c>
      <c r="J6" s="121" t="s">
        <v>490</v>
      </c>
      <c r="K6" s="122">
        <v>0.25</v>
      </c>
      <c r="L6" s="123" t="s">
        <v>491</v>
      </c>
      <c r="M6" s="122">
        <v>0.25</v>
      </c>
      <c r="N6" s="122" t="s">
        <v>492</v>
      </c>
      <c r="O6" s="122">
        <v>0.25</v>
      </c>
      <c r="P6" s="122" t="s">
        <v>493</v>
      </c>
      <c r="Q6" s="122">
        <v>0.25</v>
      </c>
      <c r="R6" s="122" t="s">
        <v>494</v>
      </c>
      <c r="S6" s="124"/>
      <c r="T6" s="124"/>
      <c r="U6" s="125"/>
      <c r="V6" s="125"/>
      <c r="W6" s="126"/>
      <c r="X6" s="126">
        <f t="shared" ref="X6:X7" si="0">SUM(U6+V6+W6)</f>
        <v>0</v>
      </c>
      <c r="Y6" s="159">
        <f>SUM(K6+M6+O6+Q6)</f>
        <v>1</v>
      </c>
      <c r="Z6" s="57"/>
      <c r="AA6" s="57"/>
    </row>
    <row r="7" spans="1:27" ht="84.75">
      <c r="A7" s="114">
        <v>2</v>
      </c>
      <c r="B7" s="141" t="s">
        <v>495</v>
      </c>
      <c r="C7" s="128" t="s">
        <v>496</v>
      </c>
      <c r="D7" s="117" t="s">
        <v>123</v>
      </c>
      <c r="E7" s="118" t="s">
        <v>46</v>
      </c>
      <c r="F7" s="127" t="s">
        <v>95</v>
      </c>
      <c r="G7" s="119" t="s">
        <v>48</v>
      </c>
      <c r="H7" s="120"/>
      <c r="I7" s="120" t="s">
        <v>38</v>
      </c>
      <c r="J7" s="121" t="s">
        <v>490</v>
      </c>
      <c r="K7" s="122">
        <v>0.25</v>
      </c>
      <c r="L7" s="123" t="s">
        <v>497</v>
      </c>
      <c r="M7" s="122">
        <v>0.25</v>
      </c>
      <c r="N7" s="123" t="s">
        <v>498</v>
      </c>
      <c r="O7" s="122">
        <v>0.25</v>
      </c>
      <c r="P7" s="123" t="s">
        <v>498</v>
      </c>
      <c r="Q7" s="122">
        <v>0.25</v>
      </c>
      <c r="R7" s="123" t="str">
        <f>+P7</f>
        <v>La oficina de control interno tenia programada una auditoria y evaluaciones programadas las cuales fueron cumplidas al 100%</v>
      </c>
      <c r="S7" s="124"/>
      <c r="T7" s="124"/>
      <c r="U7" s="125"/>
      <c r="V7" s="125"/>
      <c r="W7" s="126"/>
      <c r="X7" s="126">
        <f t="shared" si="0"/>
        <v>0</v>
      </c>
      <c r="Y7" s="159">
        <f t="shared" ref="Y7" si="1">SUM(K7+M7+O7+Q7)</f>
        <v>1</v>
      </c>
      <c r="Z7" s="57"/>
      <c r="AA7" s="57"/>
    </row>
    <row r="8" spans="1:27" ht="19.5">
      <c r="K8" s="174">
        <f>SUM(K6:K7)/2</f>
        <v>0.25</v>
      </c>
      <c r="L8" s="174"/>
      <c r="M8" s="174">
        <f t="shared" ref="M8:Q8" si="2">SUM(M6:M7)/2</f>
        <v>0.25</v>
      </c>
      <c r="N8" s="174"/>
      <c r="O8" s="174">
        <f t="shared" si="2"/>
        <v>0.25</v>
      </c>
      <c r="P8" s="174"/>
      <c r="Q8" s="174">
        <f t="shared" si="2"/>
        <v>0.25</v>
      </c>
      <c r="Y8" s="174">
        <f>SUM(Y6+Y7)/2</f>
        <v>1</v>
      </c>
    </row>
    <row r="1048307"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D00-000000000000}">
          <x14:formula1>
            <xm:f>'Hoja Formulación'!$C$6:$C$17</xm:f>
          </x14:formula1>
          <xm:sqref>E6:E7</xm:sqref>
        </x14:dataValidation>
        <x14:dataValidation type="list" allowBlank="1" showInputMessage="1" showErrorMessage="1" xr:uid="{00000000-0002-0000-0D00-000001000000}">
          <x14:formula1>
            <xm:f>'Hoja Formulación'!$E$6:$E$16</xm:f>
          </x14:formula1>
          <xm:sqref>G6:G7</xm:sqref>
        </x14:dataValidation>
        <x14:dataValidation type="list" allowBlank="1" showInputMessage="1" showErrorMessage="1" xr:uid="{00000000-0002-0000-0D00-000002000000}">
          <x14:formula1>
            <xm:f>'Hoja Formulación'!$D$6:$D$23</xm:f>
          </x14:formula1>
          <xm:sqref>F6:F7</xm:sqref>
        </x14:dataValidation>
        <x14:dataValidation type="list" allowBlank="1" showInputMessage="1" showErrorMessage="1" xr:uid="{00000000-0002-0000-0D00-000003000000}">
          <x14:formula1>
            <xm:f>'Hoja Formulación'!$C$6:$C$16</xm:f>
          </x14:formula1>
          <xm:sqref>E4:E5</xm:sqref>
        </x14:dataValidation>
        <x14:dataValidation type="list" allowBlank="1" showInputMessage="1" showErrorMessage="1" xr:uid="{00000000-0002-0000-0D00-000004000000}">
          <x14:formula1>
            <xm:f>'Hoja Formulación'!$B$6:$B$8</xm:f>
          </x14:formula1>
          <xm:sqref>D4:D7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F25"/>
  <sheetViews>
    <sheetView topLeftCell="D4" workbookViewId="0">
      <selection activeCell="E6" sqref="E6"/>
    </sheetView>
  </sheetViews>
  <sheetFormatPr defaultColWidth="11.42578125" defaultRowHeight="15"/>
  <cols>
    <col min="2" max="2" width="39" bestFit="1" customWidth="1"/>
    <col min="3" max="3" width="38" customWidth="1"/>
    <col min="4" max="4" width="16.140625" customWidth="1"/>
    <col min="5" max="5" width="21" customWidth="1"/>
  </cols>
  <sheetData>
    <row r="2" spans="2:6">
      <c r="B2" s="2"/>
      <c r="C2" s="2"/>
      <c r="D2" s="2"/>
      <c r="E2" s="2"/>
    </row>
    <row r="3" spans="2:6">
      <c r="B3" s="356" t="s">
        <v>4</v>
      </c>
      <c r="C3" s="356"/>
      <c r="D3" s="356"/>
      <c r="E3" s="356"/>
    </row>
    <row r="4" spans="2:6">
      <c r="B4" s="356" t="s">
        <v>12</v>
      </c>
      <c r="C4" s="356" t="s">
        <v>13</v>
      </c>
      <c r="D4" s="356" t="s">
        <v>14</v>
      </c>
      <c r="E4" s="3" t="s">
        <v>15</v>
      </c>
    </row>
    <row r="5" spans="2:6">
      <c r="B5" s="356"/>
      <c r="C5" s="356"/>
      <c r="D5" s="356"/>
      <c r="E5" s="3" t="s">
        <v>27</v>
      </c>
    </row>
    <row r="6" spans="2:6" ht="18">
      <c r="B6" s="31" t="s">
        <v>71</v>
      </c>
      <c r="C6" s="6" t="s">
        <v>499</v>
      </c>
      <c r="D6" s="32" t="s">
        <v>36</v>
      </c>
      <c r="E6" s="33" t="s">
        <v>131</v>
      </c>
    </row>
    <row r="7" spans="2:6" ht="27">
      <c r="B7" s="31" t="s">
        <v>34</v>
      </c>
      <c r="C7" s="6" t="s">
        <v>500</v>
      </c>
      <c r="D7" s="32" t="s">
        <v>272</v>
      </c>
      <c r="E7" s="33" t="s">
        <v>59</v>
      </c>
    </row>
    <row r="8" spans="2:6" ht="36" customHeight="1">
      <c r="B8" s="31" t="s">
        <v>123</v>
      </c>
      <c r="C8" s="6" t="s">
        <v>150</v>
      </c>
      <c r="D8" s="32" t="s">
        <v>278</v>
      </c>
      <c r="E8" s="33" t="s">
        <v>151</v>
      </c>
      <c r="F8" s="1"/>
    </row>
    <row r="9" spans="2:6" ht="18">
      <c r="B9" s="31"/>
      <c r="C9" s="6" t="s">
        <v>140</v>
      </c>
      <c r="D9" s="32" t="s">
        <v>72</v>
      </c>
      <c r="E9" s="33" t="s">
        <v>48</v>
      </c>
      <c r="F9" s="1"/>
    </row>
    <row r="10" spans="2:6" ht="45">
      <c r="B10" s="31"/>
      <c r="C10" s="6" t="s">
        <v>501</v>
      </c>
      <c r="D10" s="32" t="s">
        <v>58</v>
      </c>
      <c r="E10" s="33" t="s">
        <v>89</v>
      </c>
      <c r="F10" s="1"/>
    </row>
    <row r="11" spans="2:6" ht="36">
      <c r="B11" s="31"/>
      <c r="C11" s="6" t="s">
        <v>502</v>
      </c>
      <c r="D11" s="32" t="s">
        <v>47</v>
      </c>
      <c r="E11" s="33" t="s">
        <v>37</v>
      </c>
      <c r="F11" s="1"/>
    </row>
    <row r="12" spans="2:6" ht="27">
      <c r="B12" s="31"/>
      <c r="C12" s="6" t="s">
        <v>87</v>
      </c>
      <c r="D12" s="32" t="s">
        <v>130</v>
      </c>
      <c r="E12" s="33" t="s">
        <v>503</v>
      </c>
      <c r="F12" s="1"/>
    </row>
    <row r="13" spans="2:6" ht="27">
      <c r="B13" s="31"/>
      <c r="C13" s="6" t="s">
        <v>504</v>
      </c>
      <c r="D13" s="32" t="s">
        <v>88</v>
      </c>
      <c r="E13" s="33" t="s">
        <v>135</v>
      </c>
      <c r="F13" s="1"/>
    </row>
    <row r="14" spans="2:6" ht="18">
      <c r="B14" s="31"/>
      <c r="C14" s="6" t="s">
        <v>35</v>
      </c>
      <c r="D14" s="32" t="s">
        <v>505</v>
      </c>
      <c r="E14" s="33" t="s">
        <v>253</v>
      </c>
      <c r="F14" s="1"/>
    </row>
    <row r="15" spans="2:6" ht="18">
      <c r="B15" s="31"/>
      <c r="C15" s="6" t="s">
        <v>94</v>
      </c>
      <c r="D15" s="32" t="s">
        <v>432</v>
      </c>
      <c r="E15" s="33" t="s">
        <v>73</v>
      </c>
      <c r="F15" s="1"/>
    </row>
    <row r="16" spans="2:6" ht="27">
      <c r="B16" s="31"/>
      <c r="C16" s="6" t="s">
        <v>506</v>
      </c>
      <c r="D16" s="32" t="s">
        <v>436</v>
      </c>
      <c r="E16" s="33" t="s">
        <v>204</v>
      </c>
      <c r="F16" s="1"/>
    </row>
    <row r="17" spans="2:6">
      <c r="B17" s="31"/>
      <c r="C17" s="45" t="s">
        <v>46</v>
      </c>
      <c r="D17" s="32" t="s">
        <v>203</v>
      </c>
      <c r="E17" s="33"/>
      <c r="F17" s="1"/>
    </row>
    <row r="18" spans="2:6">
      <c r="B18" s="31"/>
      <c r="C18" s="55" t="s">
        <v>329</v>
      </c>
      <c r="D18" s="32" t="s">
        <v>507</v>
      </c>
      <c r="E18" s="33"/>
      <c r="F18" s="1"/>
    </row>
    <row r="19" spans="2:6" ht="27">
      <c r="B19" s="31"/>
      <c r="C19" s="31"/>
      <c r="D19" s="32" t="s">
        <v>382</v>
      </c>
      <c r="E19" s="33"/>
      <c r="F19" s="1"/>
    </row>
    <row r="20" spans="2:6">
      <c r="B20" s="31"/>
      <c r="C20" s="31"/>
      <c r="D20" s="32" t="s">
        <v>458</v>
      </c>
      <c r="E20" s="33"/>
      <c r="F20" s="1"/>
    </row>
    <row r="21" spans="2:6" ht="27">
      <c r="B21" s="31"/>
      <c r="C21" s="31"/>
      <c r="D21" s="32" t="s">
        <v>508</v>
      </c>
      <c r="E21" s="33"/>
      <c r="F21" s="1"/>
    </row>
    <row r="22" spans="2:6" ht="36">
      <c r="B22" s="31"/>
      <c r="C22" s="31"/>
      <c r="D22" s="32" t="s">
        <v>95</v>
      </c>
      <c r="E22" s="33"/>
      <c r="F22" s="1"/>
    </row>
    <row r="23" spans="2:6">
      <c r="B23" s="31"/>
      <c r="C23" s="31"/>
      <c r="D23" s="32" t="s">
        <v>489</v>
      </c>
      <c r="E23" s="31"/>
      <c r="F23" s="1"/>
    </row>
    <row r="24" spans="2:6">
      <c r="B24" s="2"/>
      <c r="C24" s="2"/>
      <c r="D24" s="2"/>
      <c r="E24" s="2"/>
      <c r="F24" s="1"/>
    </row>
    <row r="25" spans="2:6">
      <c r="F25" s="1"/>
    </row>
  </sheetData>
  <mergeCells count="4">
    <mergeCell ref="B3:E3"/>
    <mergeCell ref="B4:B5"/>
    <mergeCell ref="C4:C5"/>
    <mergeCell ref="D4:D5"/>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74A08-F550-4E84-B408-6798BC3AAE4E}">
  <sheetPr>
    <pageSetUpPr fitToPage="1"/>
  </sheetPr>
  <dimension ref="B2:R42"/>
  <sheetViews>
    <sheetView workbookViewId="0">
      <selection activeCell="C20" sqref="C20:F20"/>
    </sheetView>
  </sheetViews>
  <sheetFormatPr defaultRowHeight="15"/>
  <cols>
    <col min="2" max="2" width="45.42578125" bestFit="1" customWidth="1"/>
    <col min="3" max="3" width="12.7109375" bestFit="1" customWidth="1"/>
    <col min="4" max="6" width="13.5703125" bestFit="1" customWidth="1"/>
    <col min="7" max="7" width="13" bestFit="1" customWidth="1"/>
    <col min="9" max="9" width="13.5703125" bestFit="1" customWidth="1"/>
    <col min="10" max="10" width="13.5703125" customWidth="1"/>
    <col min="11" max="11" width="14.28515625" bestFit="1" customWidth="1"/>
    <col min="12" max="12" width="14.28515625" customWidth="1"/>
    <col min="13" max="14" width="13.7109375" bestFit="1" customWidth="1"/>
  </cols>
  <sheetData>
    <row r="2" spans="2:18" ht="15.75">
      <c r="B2" s="188" t="s">
        <v>509</v>
      </c>
      <c r="C2" s="188" t="s">
        <v>510</v>
      </c>
      <c r="D2" s="188" t="s">
        <v>511</v>
      </c>
      <c r="E2" s="188" t="s">
        <v>512</v>
      </c>
      <c r="F2" s="188" t="s">
        <v>513</v>
      </c>
      <c r="G2" s="190" t="s">
        <v>514</v>
      </c>
      <c r="I2" s="190" t="s">
        <v>510</v>
      </c>
      <c r="J2" s="190" t="s">
        <v>511</v>
      </c>
      <c r="K2" s="190" t="s">
        <v>512</v>
      </c>
      <c r="L2" s="190" t="s">
        <v>515</v>
      </c>
      <c r="M2" s="190" t="s">
        <v>514</v>
      </c>
      <c r="R2" s="213"/>
    </row>
    <row r="3" spans="2:18" ht="18.75">
      <c r="B3" s="189" t="s">
        <v>39</v>
      </c>
      <c r="C3" s="199">
        <v>0.25</v>
      </c>
      <c r="D3" s="199">
        <v>0.25</v>
      </c>
      <c r="E3" s="303">
        <f>GERENCIA!O7</f>
        <v>0.25</v>
      </c>
      <c r="F3" s="192">
        <f>GERENCIA!Q6</f>
        <v>0.25</v>
      </c>
      <c r="G3" s="199">
        <f>SUM(C3:F3)</f>
        <v>1</v>
      </c>
      <c r="I3" s="214">
        <f>C20</f>
        <v>0.21411764705882352</v>
      </c>
      <c r="J3" s="278">
        <f>D20</f>
        <v>0.22058823529411761</v>
      </c>
      <c r="K3" s="278">
        <f>E20</f>
        <v>0.2096670868347339</v>
      </c>
      <c r="L3" s="278">
        <f>F20</f>
        <v>0.20188183806251606</v>
      </c>
      <c r="M3" s="214">
        <f>SUM(I3+J3+K3+L3)</f>
        <v>0.84625480725019109</v>
      </c>
    </row>
    <row r="4" spans="2:18" ht="18.75">
      <c r="B4" s="189" t="s">
        <v>516</v>
      </c>
      <c r="C4" s="199">
        <v>0.12</v>
      </c>
      <c r="D4" s="210">
        <v>0.12</v>
      </c>
      <c r="E4" s="191">
        <f>'SUB ACU Y ALC .'!P15</f>
        <v>8.7500000000000008E-2</v>
      </c>
      <c r="F4" s="308">
        <f>'SUB ACU Y ALC .'!R15</f>
        <v>7.6852777777777784E-2</v>
      </c>
      <c r="G4" s="199">
        <f t="shared" ref="G4:G19" si="0">SUM(C4:F4)</f>
        <v>0.40435277777777778</v>
      </c>
    </row>
    <row r="5" spans="2:18" ht="18.75">
      <c r="B5" s="189" t="s">
        <v>517</v>
      </c>
      <c r="C5" s="199">
        <v>0.12</v>
      </c>
      <c r="D5" s="199">
        <v>0.19</v>
      </c>
      <c r="E5" s="191">
        <f>PLANEACION!O11</f>
        <v>0.19</v>
      </c>
      <c r="F5" s="192">
        <f>PLANEACION!Q11</f>
        <v>0.22999999999999998</v>
      </c>
      <c r="G5" s="199">
        <f t="shared" si="0"/>
        <v>0.73</v>
      </c>
    </row>
    <row r="6" spans="2:18" ht="18.75">
      <c r="B6" s="189" t="s">
        <v>518</v>
      </c>
      <c r="C6" s="199">
        <v>0.24</v>
      </c>
      <c r="D6" s="199">
        <v>0.25</v>
      </c>
      <c r="E6" s="191">
        <f>'SUB ASEO'!O12</f>
        <v>0.25</v>
      </c>
      <c r="F6" s="192">
        <f>'SUB ASEO'!Q12</f>
        <v>0.20833333333333334</v>
      </c>
      <c r="G6" s="199">
        <f t="shared" si="0"/>
        <v>0.94833333333333336</v>
      </c>
    </row>
    <row r="7" spans="2:18" ht="18.75">
      <c r="B7" s="189" t="s">
        <v>519</v>
      </c>
      <c r="C7" s="199">
        <v>0.19</v>
      </c>
      <c r="D7" s="199">
        <v>0.2</v>
      </c>
      <c r="E7" s="191">
        <f>FACTURACIÓN!O8</f>
        <v>0.19814999999999999</v>
      </c>
      <c r="F7" s="308">
        <f>FACTURACIÓN!Q8</f>
        <v>0.19240037404689975</v>
      </c>
      <c r="G7" s="199">
        <f t="shared" si="0"/>
        <v>0.78055037404689975</v>
      </c>
    </row>
    <row r="8" spans="2:18" ht="18.75">
      <c r="B8" s="189" t="s">
        <v>520</v>
      </c>
      <c r="C8" s="199">
        <v>0.25</v>
      </c>
      <c r="D8" s="199">
        <v>0.25</v>
      </c>
      <c r="E8" s="191">
        <f>'JURIDICA Y CONTRATACIÓN'!O11</f>
        <v>0.25</v>
      </c>
      <c r="F8" s="308">
        <f>'JURIDICA Y CONTRATACIÓN'!Q11</f>
        <v>0.25</v>
      </c>
      <c r="G8" s="199">
        <f t="shared" si="0"/>
        <v>1</v>
      </c>
    </row>
    <row r="9" spans="2:18" ht="18.75">
      <c r="B9" s="189" t="s">
        <v>521</v>
      </c>
      <c r="C9" s="199">
        <v>0.25</v>
      </c>
      <c r="D9" s="199">
        <v>0.21</v>
      </c>
      <c r="E9" s="191">
        <f>COMERCIAL!O12</f>
        <v>0.20833333333333334</v>
      </c>
      <c r="F9" s="308">
        <f>COMERCIAL!Q12</f>
        <v>0.20833333333333334</v>
      </c>
      <c r="G9" s="199">
        <f t="shared" si="0"/>
        <v>0.87666666666666671</v>
      </c>
    </row>
    <row r="10" spans="2:18" ht="18.75">
      <c r="B10" s="189" t="s">
        <v>522</v>
      </c>
      <c r="C10" s="199">
        <v>0.15</v>
      </c>
      <c r="D10" s="199">
        <v>0.21</v>
      </c>
      <c r="E10" s="191">
        <f>'SERVICIO AL CLIENTE'!O11</f>
        <v>0.25</v>
      </c>
      <c r="F10" s="308">
        <f>'SERVICIO AL CLIENTE'!Q11</f>
        <v>0.25</v>
      </c>
      <c r="G10" s="199">
        <f t="shared" si="0"/>
        <v>0.86</v>
      </c>
    </row>
    <row r="11" spans="2:18" ht="18.75">
      <c r="B11" s="189" t="s">
        <v>523</v>
      </c>
      <c r="C11" s="199">
        <v>0.25</v>
      </c>
      <c r="D11" s="199">
        <v>0.25</v>
      </c>
      <c r="E11" s="191">
        <f>PRESUPUESTO!O7</f>
        <v>0.25</v>
      </c>
      <c r="F11" s="313">
        <f>PRESUPUESTO!Q7</f>
        <v>0.25</v>
      </c>
      <c r="G11" s="199">
        <f t="shared" si="0"/>
        <v>1</v>
      </c>
    </row>
    <row r="12" spans="2:18" ht="18.75">
      <c r="B12" s="189" t="s">
        <v>524</v>
      </c>
      <c r="C12" s="199">
        <v>0.25</v>
      </c>
      <c r="D12" s="199">
        <v>0.25</v>
      </c>
      <c r="E12" s="191">
        <f>NÓMINA!O11</f>
        <v>0.25</v>
      </c>
      <c r="F12" s="192">
        <f>NÓMINA!Q11</f>
        <v>0.25</v>
      </c>
      <c r="G12" s="199">
        <f>SUM(C12:F12)</f>
        <v>1</v>
      </c>
    </row>
    <row r="13" spans="2:18" ht="18.75">
      <c r="B13" s="189" t="s">
        <v>525</v>
      </c>
      <c r="C13" s="210">
        <v>0.25</v>
      </c>
      <c r="D13" s="210">
        <v>0.25</v>
      </c>
      <c r="E13" s="191">
        <f>CONTABILIDAD!O11</f>
        <v>0.25</v>
      </c>
      <c r="F13" s="308">
        <f>CONTABILIDAD!Q11</f>
        <v>0.1875</v>
      </c>
      <c r="G13" s="199">
        <f t="shared" si="0"/>
        <v>0.9375</v>
      </c>
    </row>
    <row r="14" spans="2:18" ht="18.75">
      <c r="B14" s="189" t="s">
        <v>342</v>
      </c>
      <c r="C14" s="199">
        <v>0.13</v>
      </c>
      <c r="D14" s="199">
        <v>0.13</v>
      </c>
      <c r="E14" s="191">
        <f>'SG-SST'!O20</f>
        <v>0.19285714285714284</v>
      </c>
      <c r="F14" s="192">
        <f>'SG-SST'!Q20</f>
        <v>0.25357142857142856</v>
      </c>
      <c r="G14" s="199">
        <f t="shared" si="0"/>
        <v>0.70642857142857141</v>
      </c>
    </row>
    <row r="15" spans="2:18" ht="18.75">
      <c r="B15" s="189" t="s">
        <v>526</v>
      </c>
      <c r="C15" s="210">
        <v>0.25</v>
      </c>
      <c r="D15" s="210">
        <v>0.25</v>
      </c>
      <c r="E15" s="191">
        <f>TESORERIA!O10</f>
        <v>0.25</v>
      </c>
      <c r="F15" s="192">
        <f>TESORERIA!Q10</f>
        <v>0.25</v>
      </c>
      <c r="G15" s="199">
        <f t="shared" si="0"/>
        <v>1</v>
      </c>
    </row>
    <row r="16" spans="2:18" ht="18.75">
      <c r="B16" s="189" t="s">
        <v>527</v>
      </c>
      <c r="C16" s="210">
        <v>0.25</v>
      </c>
      <c r="D16" s="210">
        <v>0.25</v>
      </c>
      <c r="E16" s="191">
        <f>SISTEMAS!O12</f>
        <v>0.25</v>
      </c>
      <c r="F16" s="192">
        <f>SISTEMAS!Q12</f>
        <v>0.25</v>
      </c>
      <c r="G16" s="199">
        <f t="shared" si="0"/>
        <v>1</v>
      </c>
    </row>
    <row r="17" spans="2:8" ht="18.75">
      <c r="B17" s="189" t="s">
        <v>528</v>
      </c>
      <c r="C17" s="210">
        <v>0.25</v>
      </c>
      <c r="D17" s="210">
        <v>0.25</v>
      </c>
      <c r="E17" s="191">
        <f>ALMACÉN!O9</f>
        <v>0</v>
      </c>
      <c r="F17" s="192">
        <f>ALMACÉN!Q9</f>
        <v>0</v>
      </c>
      <c r="G17" s="199">
        <f t="shared" si="0"/>
        <v>0.5</v>
      </c>
    </row>
    <row r="18" spans="2:8" ht="18.75">
      <c r="B18" s="189" t="s">
        <v>529</v>
      </c>
      <c r="C18" s="210">
        <v>0.19</v>
      </c>
      <c r="D18" s="210">
        <v>0.19</v>
      </c>
      <c r="E18" s="191">
        <f>'ARCHIVO Y CORRESPONDENCIA'!O10</f>
        <v>0.1875</v>
      </c>
      <c r="F18" s="192">
        <f>'ARCHIVO Y CORRESPONDENCIA'!Q10</f>
        <v>7.4999999999999997E-2</v>
      </c>
      <c r="G18" s="199">
        <f t="shared" si="0"/>
        <v>0.64249999999999996</v>
      </c>
    </row>
    <row r="19" spans="2:8" ht="18.75">
      <c r="B19" s="195" t="s">
        <v>530</v>
      </c>
      <c r="C19" s="212">
        <v>0.25</v>
      </c>
      <c r="D19" s="212">
        <v>0.25</v>
      </c>
      <c r="E19" s="196">
        <f>'CONTROL INTERNO'!O8</f>
        <v>0.25</v>
      </c>
      <c r="F19" s="197">
        <f>'CONTROL INTERNO'!Q8</f>
        <v>0.25</v>
      </c>
      <c r="G19" s="200">
        <f t="shared" si="0"/>
        <v>1</v>
      </c>
    </row>
    <row r="20" spans="2:8" ht="18.75">
      <c r="B20" s="198" t="s">
        <v>531</v>
      </c>
      <c r="C20" s="322">
        <f>SUM(C3:C19)/17</f>
        <v>0.21411764705882352</v>
      </c>
      <c r="D20" s="322">
        <f t="shared" ref="D20:G20" si="1">SUM(D3:D19)/17</f>
        <v>0.22058823529411761</v>
      </c>
      <c r="E20" s="323">
        <f t="shared" si="1"/>
        <v>0.2096670868347339</v>
      </c>
      <c r="F20" s="324">
        <f t="shared" si="1"/>
        <v>0.20188183806251606</v>
      </c>
      <c r="G20" s="211">
        <f t="shared" si="1"/>
        <v>0.8462548072501912</v>
      </c>
      <c r="H20" s="194" t="s">
        <v>532</v>
      </c>
    </row>
    <row r="23" spans="2:8" ht="15.75">
      <c r="C23" s="240"/>
      <c r="D23" s="240"/>
    </row>
    <row r="24" spans="2:8" ht="15.75">
      <c r="B24" s="240"/>
      <c r="C24" s="240"/>
      <c r="D24" s="240"/>
      <c r="E24" s="240"/>
      <c r="F24" s="240"/>
    </row>
    <row r="25" spans="2:8" ht="18.75">
      <c r="B25" s="289"/>
      <c r="C25" s="290"/>
      <c r="D25" s="290"/>
      <c r="E25" s="291"/>
      <c r="F25" s="290"/>
    </row>
    <row r="26" spans="2:8" ht="18.75">
      <c r="B26" s="289"/>
      <c r="C26" s="290"/>
      <c r="D26" s="290"/>
      <c r="E26" s="291"/>
      <c r="F26" s="290"/>
    </row>
    <row r="27" spans="2:8" ht="18.75">
      <c r="B27" s="289"/>
      <c r="C27" s="290"/>
      <c r="D27" s="290"/>
      <c r="E27" s="291"/>
      <c r="F27" s="290"/>
    </row>
    <row r="28" spans="2:8" ht="18.75">
      <c r="B28" s="289"/>
      <c r="C28" s="290"/>
      <c r="D28" s="290"/>
      <c r="E28" s="291"/>
      <c r="F28" s="290"/>
    </row>
    <row r="29" spans="2:8" ht="18.75">
      <c r="B29" s="289"/>
      <c r="C29" s="290"/>
      <c r="D29" s="290"/>
      <c r="E29" s="291"/>
      <c r="F29" s="290"/>
    </row>
    <row r="30" spans="2:8" ht="18.75">
      <c r="B30" s="289"/>
      <c r="C30" s="290"/>
      <c r="D30" s="290"/>
      <c r="E30" s="291"/>
      <c r="F30" s="290"/>
    </row>
    <row r="31" spans="2:8" ht="18.75">
      <c r="B31" s="289"/>
      <c r="C31" s="290"/>
      <c r="D31" s="290"/>
      <c r="E31" s="291"/>
      <c r="F31" s="290"/>
    </row>
    <row r="32" spans="2:8" ht="18.75">
      <c r="B32" s="289"/>
      <c r="C32" s="290"/>
      <c r="D32" s="290"/>
      <c r="E32" s="291"/>
      <c r="F32" s="290"/>
    </row>
    <row r="33" spans="2:6" ht="18.75">
      <c r="B33" s="289"/>
      <c r="C33" s="290"/>
      <c r="D33" s="290"/>
      <c r="E33" s="291"/>
      <c r="F33" s="290"/>
    </row>
    <row r="34" spans="2:6" ht="18.75">
      <c r="B34" s="289"/>
      <c r="C34" s="290"/>
      <c r="D34" s="290"/>
      <c r="E34" s="291"/>
      <c r="F34" s="290"/>
    </row>
    <row r="35" spans="2:6" ht="18.75">
      <c r="B35" s="289"/>
      <c r="C35" s="290"/>
      <c r="D35" s="290"/>
      <c r="E35" s="291"/>
      <c r="F35" s="290"/>
    </row>
    <row r="36" spans="2:6" ht="18.75">
      <c r="B36" s="289"/>
      <c r="C36" s="290"/>
      <c r="D36" s="290"/>
      <c r="E36" s="291"/>
      <c r="F36" s="290"/>
    </row>
    <row r="37" spans="2:6" ht="18.75">
      <c r="B37" s="289"/>
      <c r="C37" s="290"/>
      <c r="D37" s="290"/>
      <c r="E37" s="291"/>
      <c r="F37" s="290"/>
    </row>
    <row r="38" spans="2:6" ht="18.75">
      <c r="B38" s="289"/>
      <c r="C38" s="290"/>
      <c r="D38" s="290"/>
      <c r="E38" s="291"/>
      <c r="F38" s="290"/>
    </row>
    <row r="39" spans="2:6" ht="18.75">
      <c r="B39" s="289"/>
      <c r="C39" s="290"/>
      <c r="D39" s="290"/>
      <c r="E39" s="291"/>
      <c r="F39" s="290"/>
    </row>
    <row r="40" spans="2:6" ht="18.75">
      <c r="B40" s="289"/>
      <c r="C40" s="290"/>
      <c r="D40" s="290"/>
      <c r="E40" s="291"/>
      <c r="F40" s="290"/>
    </row>
    <row r="41" spans="2:6" ht="18.75">
      <c r="B41" s="289"/>
      <c r="C41" s="290"/>
      <c r="D41" s="290"/>
      <c r="E41" s="291"/>
      <c r="F41" s="290"/>
    </row>
    <row r="42" spans="2:6" ht="18.75">
      <c r="B42" s="194"/>
      <c r="C42" s="292"/>
      <c r="D42" s="292"/>
      <c r="E42" s="293"/>
      <c r="F42" s="292"/>
    </row>
  </sheetData>
  <pageMargins left="0.7" right="0.7" top="0.75" bottom="0.75" header="0.3" footer="0.3"/>
  <pageSetup fitToHeight="0"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48310"/>
  <sheetViews>
    <sheetView topLeftCell="P6" zoomScale="130" zoomScaleNormal="130" workbookViewId="0">
      <selection activeCell="G6" sqref="G6"/>
    </sheetView>
  </sheetViews>
  <sheetFormatPr defaultColWidth="11.42578125" defaultRowHeight="10.5"/>
  <cols>
    <col min="1" max="1" width="11.42578125" style="7"/>
    <col min="2" max="2" width="17.42578125" style="7" customWidth="1"/>
    <col min="3" max="3" width="22.28515625" style="7" customWidth="1"/>
    <col min="4" max="4" width="30.28515625" style="7" bestFit="1" customWidth="1"/>
    <col min="5" max="5" width="6.7109375" style="36" bestFit="1"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17"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159">
      <c r="A6" s="47">
        <v>1</v>
      </c>
      <c r="B6" s="50" t="s">
        <v>44</v>
      </c>
      <c r="C6" s="11" t="s">
        <v>45</v>
      </c>
      <c r="D6" s="37" t="s">
        <v>34</v>
      </c>
      <c r="E6" s="34" t="s">
        <v>46</v>
      </c>
      <c r="F6" s="29" t="s">
        <v>47</v>
      </c>
      <c r="G6" s="41" t="s">
        <v>48</v>
      </c>
      <c r="H6" s="30"/>
      <c r="I6" s="49" t="s">
        <v>49</v>
      </c>
      <c r="J6" s="12" t="s">
        <v>50</v>
      </c>
      <c r="K6" s="43">
        <v>0</v>
      </c>
      <c r="L6" s="13" t="s">
        <v>51</v>
      </c>
      <c r="M6" s="43">
        <v>0.25</v>
      </c>
      <c r="N6" s="13" t="s">
        <v>52</v>
      </c>
      <c r="O6" s="43">
        <v>0.1</v>
      </c>
      <c r="P6" s="13" t="s">
        <v>53</v>
      </c>
      <c r="Q6" s="43">
        <v>0.2</v>
      </c>
      <c r="R6" s="13" t="s">
        <v>54</v>
      </c>
      <c r="S6" s="14" t="s">
        <v>55</v>
      </c>
      <c r="T6" s="14" t="s">
        <v>56</v>
      </c>
      <c r="U6" s="15"/>
      <c r="V6" s="15"/>
      <c r="W6" s="16"/>
      <c r="X6" s="16">
        <f t="shared" ref="X6:X10" si="0">SUM(U6+V6+W6)</f>
        <v>0</v>
      </c>
      <c r="Y6" s="165">
        <f>SUM(K6+M6+O6+Q6)</f>
        <v>0.55000000000000004</v>
      </c>
      <c r="Z6" s="17"/>
      <c r="AA6" s="17"/>
    </row>
    <row r="7" spans="1:27" ht="211.5">
      <c r="A7" s="48">
        <v>2</v>
      </c>
      <c r="B7" s="50" t="s">
        <v>57</v>
      </c>
      <c r="C7" s="19" t="s">
        <v>45</v>
      </c>
      <c r="D7" s="37" t="s">
        <v>34</v>
      </c>
      <c r="E7" s="34" t="s">
        <v>46</v>
      </c>
      <c r="F7" s="29" t="s">
        <v>58</v>
      </c>
      <c r="G7" s="41" t="s">
        <v>59</v>
      </c>
      <c r="H7" s="28"/>
      <c r="I7" s="49" t="s">
        <v>49</v>
      </c>
      <c r="J7" s="12" t="s">
        <v>50</v>
      </c>
      <c r="K7" s="44">
        <v>0</v>
      </c>
      <c r="L7" s="13" t="s">
        <v>51</v>
      </c>
      <c r="M7" s="44">
        <v>0.2</v>
      </c>
      <c r="N7" s="20" t="s">
        <v>60</v>
      </c>
      <c r="O7" s="44">
        <v>0.1</v>
      </c>
      <c r="P7" s="20" t="s">
        <v>61</v>
      </c>
      <c r="Q7" s="44">
        <v>0.2</v>
      </c>
      <c r="R7" s="20" t="s">
        <v>62</v>
      </c>
      <c r="S7" s="21">
        <v>44930</v>
      </c>
      <c r="T7" s="21" t="s">
        <v>63</v>
      </c>
      <c r="U7" s="22"/>
      <c r="V7" s="22"/>
      <c r="W7" s="23"/>
      <c r="X7" s="23">
        <f t="shared" si="0"/>
        <v>0</v>
      </c>
      <c r="Y7" s="145">
        <f t="shared" ref="Y7:Y10" si="1">SUM(K7+M7+O7+Q7)</f>
        <v>0.5</v>
      </c>
      <c r="Z7" s="24"/>
      <c r="AA7" s="24"/>
    </row>
    <row r="8" spans="1:27" ht="116.25">
      <c r="A8" s="48">
        <v>3</v>
      </c>
      <c r="B8" s="50" t="s">
        <v>64</v>
      </c>
      <c r="C8" s="19" t="s">
        <v>45</v>
      </c>
      <c r="D8" s="37" t="s">
        <v>34</v>
      </c>
      <c r="E8" s="34" t="s">
        <v>46</v>
      </c>
      <c r="F8" s="29" t="s">
        <v>58</v>
      </c>
      <c r="G8" s="41" t="s">
        <v>59</v>
      </c>
      <c r="H8" s="28"/>
      <c r="I8" s="49" t="s">
        <v>49</v>
      </c>
      <c r="J8" s="12" t="s">
        <v>50</v>
      </c>
      <c r="K8" s="44">
        <v>0.25</v>
      </c>
      <c r="L8" s="20" t="s">
        <v>65</v>
      </c>
      <c r="M8" s="44">
        <v>0.25</v>
      </c>
      <c r="N8" s="20" t="s">
        <v>66</v>
      </c>
      <c r="O8" s="44">
        <v>0.25</v>
      </c>
      <c r="P8" s="20" t="s">
        <v>67</v>
      </c>
      <c r="Q8" s="44">
        <v>0.25</v>
      </c>
      <c r="R8" s="20" t="s">
        <v>68</v>
      </c>
      <c r="S8" s="21">
        <v>44927</v>
      </c>
      <c r="T8" s="21" t="s">
        <v>69</v>
      </c>
      <c r="U8" s="22"/>
      <c r="V8" s="22"/>
      <c r="W8" s="23"/>
      <c r="X8" s="23">
        <f t="shared" si="0"/>
        <v>0</v>
      </c>
      <c r="Y8" s="145">
        <f t="shared" si="1"/>
        <v>1</v>
      </c>
      <c r="Z8" s="24"/>
      <c r="AA8" s="24"/>
    </row>
    <row r="9" spans="1:27" ht="190.5">
      <c r="A9" s="48">
        <v>4</v>
      </c>
      <c r="B9" s="50" t="s">
        <v>70</v>
      </c>
      <c r="C9" s="19" t="s">
        <v>45</v>
      </c>
      <c r="D9" s="37" t="s">
        <v>71</v>
      </c>
      <c r="E9" s="34" t="s">
        <v>46</v>
      </c>
      <c r="F9" s="29" t="s">
        <v>72</v>
      </c>
      <c r="G9" s="41" t="s">
        <v>73</v>
      </c>
      <c r="H9" s="28"/>
      <c r="I9" s="49" t="s">
        <v>49</v>
      </c>
      <c r="J9" s="12" t="s">
        <v>50</v>
      </c>
      <c r="K9" s="44">
        <v>0.1</v>
      </c>
      <c r="L9" s="20" t="s">
        <v>74</v>
      </c>
      <c r="M9" s="44">
        <v>0</v>
      </c>
      <c r="N9" s="20" t="s">
        <v>75</v>
      </c>
      <c r="O9" s="44">
        <v>0.25</v>
      </c>
      <c r="P9" s="20" t="s">
        <v>76</v>
      </c>
      <c r="Q9" s="44">
        <v>0.25</v>
      </c>
      <c r="R9" s="20" t="s">
        <v>77</v>
      </c>
      <c r="S9" s="21" t="s">
        <v>55</v>
      </c>
      <c r="T9" s="21" t="s">
        <v>69</v>
      </c>
      <c r="U9" s="22"/>
      <c r="V9" s="22"/>
      <c r="W9" s="23"/>
      <c r="X9" s="23">
        <f t="shared" si="0"/>
        <v>0</v>
      </c>
      <c r="Y9" s="145">
        <f t="shared" si="1"/>
        <v>0.6</v>
      </c>
      <c r="Z9" s="24"/>
      <c r="AA9" s="24"/>
    </row>
    <row r="10" spans="1:27" ht="138">
      <c r="A10" s="48">
        <v>5</v>
      </c>
      <c r="B10" s="50" t="s">
        <v>78</v>
      </c>
      <c r="C10" s="19" t="s">
        <v>79</v>
      </c>
      <c r="D10" s="37" t="s">
        <v>34</v>
      </c>
      <c r="E10" s="34" t="s">
        <v>46</v>
      </c>
      <c r="F10" s="29" t="s">
        <v>36</v>
      </c>
      <c r="G10" s="41" t="s">
        <v>48</v>
      </c>
      <c r="H10" s="28"/>
      <c r="I10" s="49" t="s">
        <v>49</v>
      </c>
      <c r="J10" s="12" t="s">
        <v>50</v>
      </c>
      <c r="K10" s="44">
        <v>0.25</v>
      </c>
      <c r="L10" s="20" t="s">
        <v>80</v>
      </c>
      <c r="M10" s="44">
        <v>0.25</v>
      </c>
      <c r="N10" s="20" t="s">
        <v>81</v>
      </c>
      <c r="O10" s="44">
        <v>0.25</v>
      </c>
      <c r="P10" s="20" t="s">
        <v>82</v>
      </c>
      <c r="Q10" s="44">
        <v>0.25</v>
      </c>
      <c r="R10" s="20" t="s">
        <v>83</v>
      </c>
      <c r="S10" s="51">
        <v>44927</v>
      </c>
      <c r="T10" s="21" t="s">
        <v>69</v>
      </c>
      <c r="U10" s="22"/>
      <c r="V10" s="22"/>
      <c r="W10" s="23"/>
      <c r="X10" s="23">
        <f t="shared" si="0"/>
        <v>0</v>
      </c>
      <c r="Y10" s="145">
        <f t="shared" si="1"/>
        <v>1</v>
      </c>
      <c r="Z10" s="24"/>
      <c r="AA10" s="24"/>
    </row>
    <row r="11" spans="1:27" ht="19.5">
      <c r="K11" s="171">
        <f>SUM(K6:K10)/5</f>
        <v>0.12</v>
      </c>
      <c r="L11" s="171"/>
      <c r="M11" s="171">
        <f t="shared" ref="L11:R11" si="2">SUM(M6:M10)/5</f>
        <v>0.19</v>
      </c>
      <c r="N11" s="171"/>
      <c r="O11" s="171">
        <f t="shared" si="2"/>
        <v>0.19</v>
      </c>
      <c r="P11" s="171"/>
      <c r="Q11" s="171">
        <f t="shared" si="2"/>
        <v>0.22999999999999998</v>
      </c>
      <c r="R11" s="171"/>
      <c r="Y11" s="170">
        <f>SUM(Y6:Y10)/5</f>
        <v>0.73</v>
      </c>
    </row>
    <row r="18" spans="9:9">
      <c r="I18" s="7">
        <f>SUM(25+50)/2</f>
        <v>37.5</v>
      </c>
    </row>
    <row r="1048310"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'Hoja Formulación'!$C$6:$C$17</xm:f>
          </x14:formula1>
          <xm:sqref>E6:E10</xm:sqref>
        </x14:dataValidation>
        <x14:dataValidation type="list" allowBlank="1" showInputMessage="1" showErrorMessage="1" xr:uid="{00000000-0002-0000-0000-000001000000}">
          <x14:formula1>
            <xm:f>'Hoja Formulación'!$E$6:$E$16</xm:f>
          </x14:formula1>
          <xm:sqref>G6:G10</xm:sqref>
        </x14:dataValidation>
        <x14:dataValidation type="list" allowBlank="1" showInputMessage="1" showErrorMessage="1" xr:uid="{00000000-0002-0000-0000-000002000000}">
          <x14:formula1>
            <xm:f>'Hoja Formulación'!$D$6:$D$23</xm:f>
          </x14:formula1>
          <xm:sqref>F6:F10</xm:sqref>
        </x14:dataValidation>
        <x14:dataValidation type="list" allowBlank="1" showInputMessage="1" showErrorMessage="1" xr:uid="{00000000-0002-0000-0000-000003000000}">
          <x14:formula1>
            <xm:f>'Hoja Formulación'!$C$6:$C$16</xm:f>
          </x14:formula1>
          <xm:sqref>E4:E5</xm:sqref>
        </x14:dataValidation>
        <x14:dataValidation type="list" allowBlank="1" showInputMessage="1" showErrorMessage="1" xr:uid="{00000000-0002-0000-0000-000004000000}">
          <x14:formula1>
            <xm:f>'Hoja Formulación'!$B$6:$B$8</xm:f>
          </x14:formula1>
          <xm:sqref>D4:D10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79F7-BA26-4616-8F1C-06A5A3B1F9F6}">
  <dimension ref="B3:T17"/>
  <sheetViews>
    <sheetView topLeftCell="X8" workbookViewId="0">
      <selection activeCell="X8" sqref="X8"/>
    </sheetView>
  </sheetViews>
  <sheetFormatPr defaultRowHeight="15"/>
  <cols>
    <col min="2" max="2" width="23.140625" style="263" customWidth="1"/>
    <col min="3" max="3" width="27.5703125" bestFit="1" customWidth="1"/>
    <col min="4" max="4" width="19.5703125" bestFit="1" customWidth="1"/>
    <col min="5" max="5" width="33.42578125" bestFit="1" customWidth="1"/>
    <col min="7" max="7" width="25.42578125" customWidth="1"/>
    <col min="8" max="8" width="20.85546875" bestFit="1" customWidth="1"/>
    <col min="11" max="11" width="30.7109375" style="263" customWidth="1"/>
    <col min="12" max="13" width="30.7109375" customWidth="1"/>
    <col min="14" max="14" width="33.42578125" bestFit="1" customWidth="1"/>
    <col min="16" max="16" width="16.7109375" customWidth="1"/>
    <col min="17" max="17" width="37.5703125" bestFit="1" customWidth="1"/>
    <col min="18" max="18" width="13.28515625" customWidth="1"/>
    <col min="19" max="19" width="20.140625" customWidth="1"/>
    <col min="20" max="20" width="34.85546875" customWidth="1"/>
  </cols>
  <sheetData>
    <row r="3" spans="2:20" ht="18.75">
      <c r="B3" s="357" t="s">
        <v>533</v>
      </c>
      <c r="C3" s="357"/>
      <c r="D3" s="357"/>
      <c r="E3" s="357"/>
    </row>
    <row r="5" spans="2:20" s="257" customFormat="1" ht="30.75">
      <c r="B5" s="205" t="s">
        <v>534</v>
      </c>
      <c r="C5" s="264" t="s">
        <v>535</v>
      </c>
      <c r="D5" s="205" t="s">
        <v>536</v>
      </c>
      <c r="E5" s="205" t="s">
        <v>537</v>
      </c>
      <c r="G5" s="231" t="s">
        <v>534</v>
      </c>
      <c r="H5" s="232" t="s">
        <v>538</v>
      </c>
      <c r="K5" s="205" t="s">
        <v>534</v>
      </c>
      <c r="L5" s="264" t="s">
        <v>535</v>
      </c>
      <c r="M5" s="205" t="s">
        <v>536</v>
      </c>
      <c r="N5" s="205" t="s">
        <v>539</v>
      </c>
      <c r="P5" s="205" t="s">
        <v>534</v>
      </c>
      <c r="Q5" s="205" t="s">
        <v>540</v>
      </c>
      <c r="R5" s="205"/>
      <c r="S5" s="205" t="s">
        <v>534</v>
      </c>
      <c r="T5" s="304" t="s">
        <v>541</v>
      </c>
    </row>
    <row r="6" spans="2:20" s="257" customFormat="1" ht="81.75">
      <c r="B6" s="262" t="s">
        <v>131</v>
      </c>
      <c r="C6" s="256" t="s">
        <v>542</v>
      </c>
      <c r="D6" s="207">
        <v>7</v>
      </c>
      <c r="E6" s="208">
        <f>SUM(0.5+0.25+0.5+0.5+0.5+0.5+0.5)/7</f>
        <v>0.4642857142857143</v>
      </c>
      <c r="G6" s="258" t="s">
        <v>131</v>
      </c>
      <c r="H6" s="208">
        <f>SUM(0.5+0.25+0.5+0.5+0.5+0.5+0.5)/7</f>
        <v>0.4642857142857143</v>
      </c>
      <c r="K6" s="262" t="s">
        <v>131</v>
      </c>
      <c r="L6" s="256" t="s">
        <v>542</v>
      </c>
      <c r="M6" s="207">
        <v>7</v>
      </c>
      <c r="N6" s="208">
        <v>0.5</v>
      </c>
      <c r="P6" s="288" t="s">
        <v>131</v>
      </c>
      <c r="Q6" s="208">
        <f>N6</f>
        <v>0.5</v>
      </c>
      <c r="R6" s="208"/>
      <c r="S6" s="288" t="s">
        <v>131</v>
      </c>
      <c r="T6" s="317">
        <f>H6+Q6</f>
        <v>0.9642857142857143</v>
      </c>
    </row>
    <row r="7" spans="2:20" s="257" customFormat="1" ht="105.75">
      <c r="B7" s="262" t="s">
        <v>59</v>
      </c>
      <c r="C7" s="259" t="s">
        <v>543</v>
      </c>
      <c r="D7" s="207">
        <v>4</v>
      </c>
      <c r="E7" s="208">
        <f>SUM(0.2+0.5+0.5+0.25)/4</f>
        <v>0.36249999999999999</v>
      </c>
      <c r="G7" s="258" t="s">
        <v>59</v>
      </c>
      <c r="H7" s="208">
        <f>SUM(0.2+0.5+0.5+0.25)/4</f>
        <v>0.36249999999999999</v>
      </c>
      <c r="K7" s="262" t="s">
        <v>59</v>
      </c>
      <c r="L7" s="259" t="s">
        <v>543</v>
      </c>
      <c r="M7" s="207">
        <v>4</v>
      </c>
      <c r="N7" s="208">
        <f>(0.5+0.5+0.4)/3</f>
        <v>0.46666666666666662</v>
      </c>
      <c r="P7" s="288" t="s">
        <v>59</v>
      </c>
      <c r="Q7" s="208">
        <f t="shared" ref="Q7:Q16" si="0">N7</f>
        <v>0.46666666666666662</v>
      </c>
      <c r="R7" s="208"/>
      <c r="S7" s="288" t="s">
        <v>59</v>
      </c>
      <c r="T7" s="317">
        <f t="shared" ref="T7:T16" si="1">H7+Q7</f>
        <v>0.82916666666666661</v>
      </c>
    </row>
    <row r="8" spans="2:20" s="257" customFormat="1" ht="69.75">
      <c r="B8" s="262" t="s">
        <v>151</v>
      </c>
      <c r="C8" s="260" t="s">
        <v>544</v>
      </c>
      <c r="D8" s="207">
        <v>6</v>
      </c>
      <c r="E8" s="208">
        <f>SUM(0.5+0.5+0.5+0.5+0.5+0.5)/6</f>
        <v>0.5</v>
      </c>
      <c r="G8" s="258" t="s">
        <v>151</v>
      </c>
      <c r="H8" s="208">
        <f>SUM(0.5+0.5+0.5+0.5+0.5+0.5)/6</f>
        <v>0.5</v>
      </c>
      <c r="K8" s="262" t="s">
        <v>151</v>
      </c>
      <c r="L8" s="260" t="s">
        <v>544</v>
      </c>
      <c r="M8" s="207">
        <v>6</v>
      </c>
      <c r="N8" s="208">
        <f>(0.5+0.5+0.5)/3</f>
        <v>0.5</v>
      </c>
      <c r="P8" s="288" t="s">
        <v>151</v>
      </c>
      <c r="Q8" s="208">
        <f t="shared" si="0"/>
        <v>0.5</v>
      </c>
      <c r="R8" s="208"/>
      <c r="S8" s="288" t="s">
        <v>151</v>
      </c>
      <c r="T8" s="317">
        <f t="shared" si="1"/>
        <v>1</v>
      </c>
    </row>
    <row r="9" spans="2:20" s="257" customFormat="1" ht="198">
      <c r="B9" s="262" t="s">
        <v>48</v>
      </c>
      <c r="C9" s="256" t="s">
        <v>545</v>
      </c>
      <c r="D9" s="207">
        <v>28</v>
      </c>
      <c r="E9" s="208">
        <f>SUM(0.25+0.5+0.5+0.5+0.5+0.5+0.25+0.5+0.75+0.2+0.5+0.5+0.5+0.5+0.1+0.5+0.5+0.5+0.5+0.5+0.5+0+0.5+0.5+0.5+0.5+0.25+0)/27</f>
        <v>0.43703703703703706</v>
      </c>
      <c r="G9" s="258" t="s">
        <v>48</v>
      </c>
      <c r="H9" s="208">
        <f>SUM(0.25+0.5+0.5+0.5+0.5+0.5+0.25+0.5+0.75+0.2+0.5+0.5+0.5+0.5+0.1+0.5+0.5+0.5+0.5+0.5+0.5+0+0.5+0.5+0.5+0.5+0.25+0)/27</f>
        <v>0.43703703703703706</v>
      </c>
      <c r="K9" s="262" t="s">
        <v>48</v>
      </c>
      <c r="L9" s="256" t="s">
        <v>546</v>
      </c>
      <c r="M9" s="207">
        <v>28</v>
      </c>
      <c r="N9" s="208">
        <f>(0.4+0.39+0+0.5+0.5+0.5+0.5+0.5+0.5+0.5+0.26+0.45+0.5)/13</f>
        <v>0.42307692307692307</v>
      </c>
      <c r="P9" s="288" t="s">
        <v>48</v>
      </c>
      <c r="Q9" s="208">
        <f t="shared" si="0"/>
        <v>0.42307692307692307</v>
      </c>
      <c r="R9" s="208"/>
      <c r="S9" s="288" t="s">
        <v>48</v>
      </c>
      <c r="T9" s="317">
        <f t="shared" si="1"/>
        <v>0.86011396011396013</v>
      </c>
    </row>
    <row r="10" spans="2:20" s="257" customFormat="1" ht="81.75">
      <c r="B10" s="262" t="s">
        <v>89</v>
      </c>
      <c r="C10" s="256" t="s">
        <v>547</v>
      </c>
      <c r="D10" s="207">
        <v>7</v>
      </c>
      <c r="E10" s="208">
        <f>SUM(0.47+0.065+0.5+0.5+0.5+0.28+0.2)/7</f>
        <v>0.35928571428571437</v>
      </c>
      <c r="G10" s="258" t="s">
        <v>89</v>
      </c>
      <c r="H10" s="208">
        <f>SUM(0.47+0.065+0.5+0.5+0.5+0.28+0.2)/7</f>
        <v>0.35928571428571437</v>
      </c>
      <c r="K10" s="262" t="s">
        <v>89</v>
      </c>
      <c r="L10" s="256" t="s">
        <v>547</v>
      </c>
      <c r="M10" s="207">
        <v>7</v>
      </c>
      <c r="N10" s="208">
        <f>(0.36+0.42+0.39+0.5)/4</f>
        <v>0.41749999999999998</v>
      </c>
      <c r="P10" s="288" t="s">
        <v>89</v>
      </c>
      <c r="Q10" s="208">
        <f t="shared" si="0"/>
        <v>0.41749999999999998</v>
      </c>
      <c r="R10" s="208"/>
      <c r="S10" s="288" t="s">
        <v>89</v>
      </c>
      <c r="T10" s="317">
        <f t="shared" si="1"/>
        <v>0.77678571428571441</v>
      </c>
    </row>
    <row r="11" spans="2:20" s="257" customFormat="1" ht="117">
      <c r="B11" s="262" t="s">
        <v>37</v>
      </c>
      <c r="C11" s="260" t="s">
        <v>548</v>
      </c>
      <c r="D11" s="207">
        <v>8</v>
      </c>
      <c r="E11" s="208">
        <f>SUM(0.5+0.5+0+0.32+0.5+0.28+0.5+0.07)/8</f>
        <v>0.33374999999999999</v>
      </c>
      <c r="G11" s="258" t="s">
        <v>37</v>
      </c>
      <c r="H11" s="294">
        <f>SUM(0.5+0.5+0+0.32+0.5+0.28+0.5+0.07)/8</f>
        <v>0.33374999999999999</v>
      </c>
      <c r="K11" s="262" t="s">
        <v>37</v>
      </c>
      <c r="L11" s="259" t="s">
        <v>548</v>
      </c>
      <c r="M11" s="207">
        <v>8</v>
      </c>
      <c r="N11" s="208">
        <f>(0.5+0.16)/2</f>
        <v>0.33</v>
      </c>
      <c r="P11" s="288" t="s">
        <v>549</v>
      </c>
      <c r="Q11" s="208">
        <f t="shared" si="0"/>
        <v>0.33</v>
      </c>
      <c r="R11" s="208"/>
      <c r="S11" s="288" t="s">
        <v>549</v>
      </c>
      <c r="T11" s="317">
        <f t="shared" si="1"/>
        <v>0.66375000000000006</v>
      </c>
    </row>
    <row r="12" spans="2:20" s="257" customFormat="1" ht="129">
      <c r="B12" s="262" t="s">
        <v>503</v>
      </c>
      <c r="C12" s="261"/>
      <c r="D12" s="207">
        <v>0</v>
      </c>
      <c r="E12" s="208">
        <v>0</v>
      </c>
      <c r="G12" s="258" t="s">
        <v>503</v>
      </c>
      <c r="H12" s="208">
        <v>0</v>
      </c>
      <c r="K12" s="262" t="s">
        <v>503</v>
      </c>
      <c r="L12" s="261"/>
      <c r="M12" s="207">
        <v>0</v>
      </c>
      <c r="N12" s="208">
        <v>0</v>
      </c>
      <c r="P12" s="288" t="s">
        <v>503</v>
      </c>
      <c r="Q12" s="208">
        <f t="shared" si="0"/>
        <v>0</v>
      </c>
      <c r="R12" s="208"/>
      <c r="S12" s="288" t="s">
        <v>503</v>
      </c>
      <c r="T12" s="317">
        <f t="shared" si="1"/>
        <v>0</v>
      </c>
    </row>
    <row r="13" spans="2:20" s="257" customFormat="1" ht="117">
      <c r="B13" s="262" t="s">
        <v>135</v>
      </c>
      <c r="C13" s="221" t="s">
        <v>550</v>
      </c>
      <c r="D13" s="207">
        <v>1</v>
      </c>
      <c r="E13" s="208">
        <v>0.5</v>
      </c>
      <c r="G13" s="258" t="s">
        <v>135</v>
      </c>
      <c r="H13" s="208">
        <v>0.5</v>
      </c>
      <c r="K13" s="262" t="s">
        <v>135</v>
      </c>
      <c r="L13" s="221" t="s">
        <v>550</v>
      </c>
      <c r="M13" s="207">
        <v>1</v>
      </c>
      <c r="N13" s="208">
        <v>0.5</v>
      </c>
      <c r="P13" s="288" t="s">
        <v>135</v>
      </c>
      <c r="Q13" s="208">
        <f t="shared" si="0"/>
        <v>0.5</v>
      </c>
      <c r="R13" s="208"/>
      <c r="S13" s="288" t="s">
        <v>135</v>
      </c>
      <c r="T13" s="317">
        <f t="shared" si="1"/>
        <v>1</v>
      </c>
    </row>
    <row r="14" spans="2:20" s="257" customFormat="1" ht="69.75">
      <c r="B14" s="262" t="s">
        <v>253</v>
      </c>
      <c r="C14" s="256" t="s">
        <v>551</v>
      </c>
      <c r="D14" s="207">
        <v>4</v>
      </c>
      <c r="E14" s="208">
        <f>SUM(0.31+0.4+0.2)/3</f>
        <v>0.30333333333333329</v>
      </c>
      <c r="G14" s="258" t="s">
        <v>253</v>
      </c>
      <c r="H14" s="208">
        <f>SUM(0.31+0.4+0.2)/3</f>
        <v>0.30333333333333329</v>
      </c>
      <c r="K14" s="262" t="s">
        <v>253</v>
      </c>
      <c r="L14" s="256" t="s">
        <v>551</v>
      </c>
      <c r="M14" s="207">
        <v>4</v>
      </c>
      <c r="N14" s="208">
        <f>(0.5+0.5+0.1)/3</f>
        <v>0.3666666666666667</v>
      </c>
      <c r="P14" s="288" t="s">
        <v>253</v>
      </c>
      <c r="Q14" s="208">
        <f t="shared" si="0"/>
        <v>0.3666666666666667</v>
      </c>
      <c r="R14" s="208"/>
      <c r="S14" s="288" t="s">
        <v>253</v>
      </c>
      <c r="T14" s="317">
        <f t="shared" si="1"/>
        <v>0.66999999999999993</v>
      </c>
    </row>
    <row r="15" spans="2:20" s="257" customFormat="1" ht="69.75">
      <c r="B15" s="262" t="s">
        <v>73</v>
      </c>
      <c r="C15" s="260" t="s">
        <v>552</v>
      </c>
      <c r="D15" s="207">
        <v>11</v>
      </c>
      <c r="E15" s="208">
        <f>(0.1+0.41+0.4+0.4+0+0.23+0.5+0.4+0.2+0+0)/11</f>
        <v>0.24000000000000002</v>
      </c>
      <c r="G15" s="258" t="s">
        <v>73</v>
      </c>
      <c r="H15" s="208">
        <f>(0.1+0.41+0.4+0.4+0+0.23+0.5+0.4+0.2+0+0)/11</f>
        <v>0.24000000000000002</v>
      </c>
      <c r="K15" s="262" t="s">
        <v>73</v>
      </c>
      <c r="L15" s="260" t="s">
        <v>552</v>
      </c>
      <c r="M15" s="207">
        <v>11</v>
      </c>
      <c r="N15" s="208">
        <f>(0.5+0.5+0.44)/3</f>
        <v>0.48</v>
      </c>
      <c r="P15" s="288" t="s">
        <v>73</v>
      </c>
      <c r="Q15" s="208">
        <f t="shared" si="0"/>
        <v>0.48</v>
      </c>
      <c r="R15" s="208"/>
      <c r="S15" s="288" t="s">
        <v>73</v>
      </c>
      <c r="T15" s="317">
        <f t="shared" si="1"/>
        <v>0.72</v>
      </c>
    </row>
    <row r="16" spans="2:20" s="257" customFormat="1" ht="105.75">
      <c r="B16" s="262" t="s">
        <v>204</v>
      </c>
      <c r="C16" s="260" t="s">
        <v>553</v>
      </c>
      <c r="D16" s="207">
        <v>7</v>
      </c>
      <c r="E16" s="208">
        <f>(0.5+0.5+0.5+0.5+0.5+0.5+0.5)/7</f>
        <v>0.5</v>
      </c>
      <c r="G16" s="258" t="s">
        <v>204</v>
      </c>
      <c r="H16" s="208">
        <f>(0.5+0.5+0.5+0.5+0.5+0.5+0.5)/7</f>
        <v>0.5</v>
      </c>
      <c r="K16" s="262" t="s">
        <v>204</v>
      </c>
      <c r="L16" s="260" t="s">
        <v>553</v>
      </c>
      <c r="M16" s="207">
        <v>7</v>
      </c>
      <c r="N16" s="208">
        <f>(0.5+0.5)/2</f>
        <v>0.5</v>
      </c>
      <c r="P16" s="288" t="s">
        <v>204</v>
      </c>
      <c r="Q16" s="208">
        <f t="shared" si="0"/>
        <v>0.5</v>
      </c>
      <c r="R16" s="208"/>
      <c r="S16" s="288" t="s">
        <v>204</v>
      </c>
      <c r="T16" s="317">
        <f t="shared" si="1"/>
        <v>1</v>
      </c>
    </row>
    <row r="17" spans="3:20" ht="21">
      <c r="C17" s="206"/>
      <c r="D17" s="215">
        <f>SUM(D6:D16)</f>
        <v>83</v>
      </c>
      <c r="E17" s="220">
        <f>SUM(E6:E16)/11</f>
        <v>0.36365379990379992</v>
      </c>
      <c r="N17" s="285">
        <f>SUM(N6:N16)/11</f>
        <v>0.40762820512820513</v>
      </c>
      <c r="Q17" s="213">
        <f>SUM(Q6:Q16)/11</f>
        <v>0.40762820512820513</v>
      </c>
      <c r="R17" s="213"/>
      <c r="T17" s="321">
        <f>SUM(T6+T7+T8+T9+T10+T11+T12+T13+T14+T15+T16)/11</f>
        <v>0.77128200503200506</v>
      </c>
    </row>
  </sheetData>
  <mergeCells count="1">
    <mergeCell ref="B3:E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FF82-D0E9-4856-AC96-D1B082A6CB7E}">
  <dimension ref="C3:F9"/>
  <sheetViews>
    <sheetView workbookViewId="0">
      <selection activeCell="F7" sqref="F7"/>
    </sheetView>
  </sheetViews>
  <sheetFormatPr defaultRowHeight="15"/>
  <cols>
    <col min="3" max="3" width="41.85546875" bestFit="1" customWidth="1"/>
    <col min="4" max="4" width="28.140625" bestFit="1" customWidth="1"/>
    <col min="5" max="5" width="19.5703125" bestFit="1" customWidth="1"/>
    <col min="6" max="6" width="33.42578125" bestFit="1" customWidth="1"/>
  </cols>
  <sheetData>
    <row r="3" spans="3:6" ht="18.75">
      <c r="C3" s="357" t="s">
        <v>554</v>
      </c>
      <c r="D3" s="357"/>
      <c r="E3" s="357"/>
      <c r="F3" s="357"/>
    </row>
    <row r="5" spans="3:6">
      <c r="C5" s="205" t="s">
        <v>12</v>
      </c>
      <c r="D5" s="204" t="s">
        <v>535</v>
      </c>
      <c r="E5" s="204" t="s">
        <v>536</v>
      </c>
      <c r="F5" s="204" t="s">
        <v>555</v>
      </c>
    </row>
    <row r="6" spans="3:6" ht="30.75">
      <c r="C6" s="223" t="s">
        <v>556</v>
      </c>
      <c r="D6" s="222" t="s">
        <v>557</v>
      </c>
      <c r="E6" s="221">
        <v>3</v>
      </c>
      <c r="F6" s="224">
        <f>(E6*100)/E9</f>
        <v>3.6144578313253013</v>
      </c>
    </row>
    <row r="7" spans="3:6" ht="91.5">
      <c r="C7" s="223" t="s">
        <v>558</v>
      </c>
      <c r="D7" s="222" t="s">
        <v>559</v>
      </c>
      <c r="E7" s="221">
        <v>41</v>
      </c>
      <c r="F7" s="224">
        <f>(E7*100)/E9</f>
        <v>49.397590361445786</v>
      </c>
    </row>
    <row r="8" spans="3:6" ht="121.5">
      <c r="C8" s="223" t="s">
        <v>560</v>
      </c>
      <c r="D8" s="222" t="s">
        <v>561</v>
      </c>
      <c r="E8" s="221">
        <v>39</v>
      </c>
      <c r="F8" s="224">
        <f>(E8*100)/E9</f>
        <v>46.987951807228917</v>
      </c>
    </row>
    <row r="9" spans="3:6">
      <c r="C9" s="358" t="s">
        <v>562</v>
      </c>
      <c r="D9" s="359"/>
      <c r="E9" s="221">
        <f>SUM(E6:E8)</f>
        <v>83</v>
      </c>
      <c r="F9" s="224">
        <f>SUM(F6:F8)</f>
        <v>100</v>
      </c>
    </row>
  </sheetData>
  <mergeCells count="2">
    <mergeCell ref="C3:F3"/>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B31E5-4907-4393-AB7A-BE05F7B788A1}">
  <dimension ref="B3:H85"/>
  <sheetViews>
    <sheetView workbookViewId="0">
      <selection activeCell="C54" sqref="C54"/>
    </sheetView>
  </sheetViews>
  <sheetFormatPr defaultRowHeight="15"/>
  <cols>
    <col min="2" max="2" width="34.42578125" bestFit="1" customWidth="1"/>
    <col min="3" max="3" width="112.7109375" bestFit="1" customWidth="1"/>
    <col min="4" max="4" width="28.140625" bestFit="1" customWidth="1"/>
    <col min="5" max="5" width="19.5703125" bestFit="1" customWidth="1"/>
    <col min="6" max="6" width="28.42578125" bestFit="1" customWidth="1"/>
  </cols>
  <sheetData>
    <row r="3" spans="3:8" ht="18.75">
      <c r="C3" s="357" t="s">
        <v>563</v>
      </c>
      <c r="D3" s="357"/>
      <c r="E3" s="357"/>
      <c r="F3" s="357"/>
    </row>
    <row r="5" spans="3:8">
      <c r="C5" s="225" t="s">
        <v>564</v>
      </c>
      <c r="D5" s="228" t="s">
        <v>535</v>
      </c>
      <c r="E5" s="228" t="s">
        <v>536</v>
      </c>
      <c r="F5" s="228" t="s">
        <v>565</v>
      </c>
    </row>
    <row r="6" spans="3:8">
      <c r="C6" s="227" t="s">
        <v>36</v>
      </c>
      <c r="D6" s="226" t="s">
        <v>566</v>
      </c>
      <c r="E6" s="226">
        <v>6</v>
      </c>
      <c r="F6" s="233">
        <f>(E6*100)/E24</f>
        <v>7.2289156626506026</v>
      </c>
    </row>
    <row r="7" spans="3:8" ht="24">
      <c r="C7" s="227" t="s">
        <v>272</v>
      </c>
      <c r="D7" s="229" t="s">
        <v>567</v>
      </c>
      <c r="E7" s="226">
        <v>14</v>
      </c>
      <c r="F7" s="233">
        <f>(E7*100)/E24</f>
        <v>16.867469879518072</v>
      </c>
    </row>
    <row r="8" spans="3:8">
      <c r="C8" s="227" t="s">
        <v>278</v>
      </c>
      <c r="D8" s="226" t="s">
        <v>568</v>
      </c>
      <c r="E8" s="226">
        <v>9</v>
      </c>
      <c r="F8" s="233">
        <f>(E8*100)/E24</f>
        <v>10.843373493975903</v>
      </c>
    </row>
    <row r="9" spans="3:8">
      <c r="C9" s="227" t="s">
        <v>72</v>
      </c>
      <c r="D9" s="230" t="s">
        <v>569</v>
      </c>
      <c r="E9" s="226">
        <v>1</v>
      </c>
      <c r="F9" s="233">
        <f>(E9*100)/E24</f>
        <v>1.2048192771084338</v>
      </c>
    </row>
    <row r="10" spans="3:8" ht="24">
      <c r="C10" s="227" t="s">
        <v>58</v>
      </c>
      <c r="D10" s="229" t="s">
        <v>570</v>
      </c>
      <c r="E10" s="230">
        <v>8</v>
      </c>
      <c r="F10" s="233">
        <f>(E10*100)/E24</f>
        <v>9.6385542168674707</v>
      </c>
    </row>
    <row r="11" spans="3:8" ht="15" customHeight="1">
      <c r="C11" s="227" t="s">
        <v>47</v>
      </c>
      <c r="D11" s="229" t="s">
        <v>571</v>
      </c>
      <c r="E11" s="230">
        <v>10</v>
      </c>
      <c r="F11" s="233">
        <f>(E11*100)/E24</f>
        <v>12.048192771084338</v>
      </c>
    </row>
    <row r="12" spans="3:8" ht="24">
      <c r="C12" s="227" t="s">
        <v>130</v>
      </c>
      <c r="D12" s="229" t="s">
        <v>572</v>
      </c>
      <c r="E12" s="230">
        <v>8</v>
      </c>
      <c r="F12" s="233">
        <f>(E12*100)/E24</f>
        <v>9.6385542168674707</v>
      </c>
    </row>
    <row r="13" spans="3:8" ht="36">
      <c r="C13" s="227" t="s">
        <v>88</v>
      </c>
      <c r="D13" s="229" t="s">
        <v>573</v>
      </c>
      <c r="E13" s="226">
        <v>4</v>
      </c>
      <c r="F13" s="233">
        <f>(E13*100)/E24</f>
        <v>4.8192771084337354</v>
      </c>
      <c r="H13">
        <f>1+5+9+6+2+6+6+5+1+4+5+14+4+6+3+4+2</f>
        <v>83</v>
      </c>
    </row>
    <row r="14" spans="3:8">
      <c r="C14" s="227" t="s">
        <v>505</v>
      </c>
      <c r="D14" s="229"/>
      <c r="E14" s="230">
        <v>0</v>
      </c>
      <c r="F14" s="233">
        <f>(E14*100)/E24</f>
        <v>0</v>
      </c>
    </row>
    <row r="15" spans="3:8">
      <c r="C15" s="227" t="s">
        <v>432</v>
      </c>
      <c r="D15" s="229" t="s">
        <v>574</v>
      </c>
      <c r="E15" s="230">
        <v>1</v>
      </c>
      <c r="F15" s="233">
        <f>(E15*100)/E24</f>
        <v>1.2048192771084338</v>
      </c>
    </row>
    <row r="16" spans="3:8">
      <c r="C16" s="227" t="s">
        <v>436</v>
      </c>
      <c r="D16" s="229" t="s">
        <v>574</v>
      </c>
      <c r="E16" s="230">
        <v>2</v>
      </c>
      <c r="F16" s="233">
        <f>(E16*100)/E24</f>
        <v>2.4096385542168677</v>
      </c>
    </row>
    <row r="17" spans="3:6">
      <c r="C17" s="227" t="s">
        <v>203</v>
      </c>
      <c r="D17" s="229" t="s">
        <v>575</v>
      </c>
      <c r="E17" s="230">
        <v>4</v>
      </c>
      <c r="F17" s="233">
        <f>(E17*100)/E24</f>
        <v>4.8192771084337354</v>
      </c>
    </row>
    <row r="18" spans="3:6">
      <c r="C18" s="227" t="s">
        <v>507</v>
      </c>
      <c r="D18" s="229"/>
      <c r="E18" s="230">
        <v>0</v>
      </c>
      <c r="F18" s="233">
        <f>(E18*100)/E24</f>
        <v>0</v>
      </c>
    </row>
    <row r="19" spans="3:6">
      <c r="C19" s="227" t="s">
        <v>382</v>
      </c>
      <c r="D19" s="229" t="s">
        <v>342</v>
      </c>
      <c r="E19" s="230">
        <v>2</v>
      </c>
      <c r="F19" s="233">
        <f>(E19*100)/E24</f>
        <v>2.4096385542168677</v>
      </c>
    </row>
    <row r="20" spans="3:6">
      <c r="C20" s="227" t="s">
        <v>458</v>
      </c>
      <c r="D20" s="229" t="s">
        <v>576</v>
      </c>
      <c r="E20" s="230">
        <v>4</v>
      </c>
      <c r="F20" s="233">
        <f>(E20*100)/E24</f>
        <v>4.8192771084337354</v>
      </c>
    </row>
    <row r="21" spans="3:6">
      <c r="C21" s="227" t="s">
        <v>508</v>
      </c>
      <c r="D21" s="229"/>
      <c r="E21" s="230">
        <v>0</v>
      </c>
      <c r="F21" s="233">
        <f>(E21*100)/E24</f>
        <v>0</v>
      </c>
    </row>
    <row r="22" spans="3:6" ht="36">
      <c r="C22" s="227" t="s">
        <v>95</v>
      </c>
      <c r="D22" s="229" t="s">
        <v>577</v>
      </c>
      <c r="E22" s="230">
        <v>9</v>
      </c>
      <c r="F22" s="233">
        <f>(E22*100)/E24</f>
        <v>10.843373493975903</v>
      </c>
    </row>
    <row r="23" spans="3:6">
      <c r="C23" s="227" t="s">
        <v>489</v>
      </c>
      <c r="D23" s="229" t="s">
        <v>578</v>
      </c>
      <c r="E23" s="230">
        <v>1</v>
      </c>
      <c r="F23" s="233">
        <f>(E23*100)/E24</f>
        <v>1.2048192771084338</v>
      </c>
    </row>
    <row r="24" spans="3:6">
      <c r="E24" s="234">
        <f>SUM(E6:E23)</f>
        <v>83</v>
      </c>
      <c r="F24" s="235">
        <f>SUM(F6:F23)</f>
        <v>100</v>
      </c>
    </row>
    <row r="27" spans="3:6">
      <c r="C27" s="205" t="s">
        <v>564</v>
      </c>
      <c r="D27" s="205" t="s">
        <v>579</v>
      </c>
      <c r="E27" s="205" t="s">
        <v>580</v>
      </c>
    </row>
    <row r="28" spans="3:6">
      <c r="C28" s="236" t="s">
        <v>36</v>
      </c>
      <c r="D28" s="237">
        <v>6</v>
      </c>
      <c r="E28" s="238"/>
    </row>
    <row r="29" spans="3:6">
      <c r="C29" s="227" t="s">
        <v>272</v>
      </c>
      <c r="D29" s="226">
        <v>14</v>
      </c>
      <c r="E29" s="233"/>
    </row>
    <row r="30" spans="3:6">
      <c r="C30" s="227" t="s">
        <v>278</v>
      </c>
      <c r="D30" s="226">
        <v>9</v>
      </c>
      <c r="E30" s="233"/>
    </row>
    <row r="31" spans="3:6">
      <c r="C31" s="227" t="s">
        <v>72</v>
      </c>
      <c r="D31" s="226">
        <v>1</v>
      </c>
      <c r="E31" s="233"/>
    </row>
    <row r="32" spans="3:6">
      <c r="C32" s="227" t="s">
        <v>58</v>
      </c>
      <c r="D32" s="230">
        <v>8</v>
      </c>
      <c r="E32" s="233"/>
    </row>
    <row r="33" spans="3:5">
      <c r="C33" s="227" t="s">
        <v>47</v>
      </c>
      <c r="D33" s="230">
        <v>10</v>
      </c>
      <c r="E33" s="233"/>
    </row>
    <row r="34" spans="3:5">
      <c r="C34" s="227" t="s">
        <v>130</v>
      </c>
      <c r="D34" s="230">
        <v>8</v>
      </c>
      <c r="E34" s="233"/>
    </row>
    <row r="35" spans="3:5">
      <c r="C35" s="227" t="s">
        <v>88</v>
      </c>
      <c r="D35" s="226">
        <v>4</v>
      </c>
      <c r="E35" s="233"/>
    </row>
    <row r="36" spans="3:5">
      <c r="C36" s="227" t="s">
        <v>505</v>
      </c>
      <c r="D36" s="230">
        <v>0</v>
      </c>
      <c r="E36" s="233"/>
    </row>
    <row r="37" spans="3:5">
      <c r="C37" s="227" t="s">
        <v>432</v>
      </c>
      <c r="D37" s="230">
        <v>1</v>
      </c>
      <c r="E37" s="233"/>
    </row>
    <row r="38" spans="3:5">
      <c r="C38" s="227" t="s">
        <v>436</v>
      </c>
      <c r="D38" s="230">
        <v>2</v>
      </c>
      <c r="E38" s="233"/>
    </row>
    <row r="39" spans="3:5">
      <c r="C39" s="227" t="s">
        <v>203</v>
      </c>
      <c r="D39" s="230">
        <v>4</v>
      </c>
      <c r="E39" s="233"/>
    </row>
    <row r="40" spans="3:5">
      <c r="C40" s="227" t="s">
        <v>507</v>
      </c>
      <c r="D40" s="230">
        <v>0</v>
      </c>
      <c r="E40" s="233"/>
    </row>
    <row r="41" spans="3:5">
      <c r="C41" s="227" t="s">
        <v>382</v>
      </c>
      <c r="D41" s="230">
        <v>2</v>
      </c>
      <c r="E41" s="233"/>
    </row>
    <row r="42" spans="3:5">
      <c r="C42" s="227" t="s">
        <v>458</v>
      </c>
      <c r="D42" s="230">
        <v>4</v>
      </c>
      <c r="E42" s="233"/>
    </row>
    <row r="43" spans="3:5">
      <c r="C43" s="227" t="s">
        <v>508</v>
      </c>
      <c r="D43" s="230">
        <v>0</v>
      </c>
      <c r="E43" s="233"/>
    </row>
    <row r="44" spans="3:5">
      <c r="C44" s="227" t="s">
        <v>95</v>
      </c>
      <c r="D44" s="230">
        <v>9</v>
      </c>
      <c r="E44" s="233"/>
    </row>
    <row r="45" spans="3:5">
      <c r="C45" s="227" t="s">
        <v>489</v>
      </c>
      <c r="D45" s="230">
        <v>1</v>
      </c>
      <c r="E45" s="233"/>
    </row>
    <row r="50" spans="2:3">
      <c r="B50" s="269" t="s">
        <v>581</v>
      </c>
      <c r="C50" s="269" t="s">
        <v>582</v>
      </c>
    </row>
    <row r="51" spans="2:3" ht="31.5" customHeight="1">
      <c r="B51" s="360" t="s">
        <v>583</v>
      </c>
      <c r="C51" s="267" t="s">
        <v>584</v>
      </c>
    </row>
    <row r="52" spans="2:3">
      <c r="B52" s="361"/>
      <c r="C52" s="270" t="s">
        <v>585</v>
      </c>
    </row>
    <row r="53" spans="2:3">
      <c r="B53" s="361"/>
      <c r="C53" s="270" t="s">
        <v>327</v>
      </c>
    </row>
    <row r="54" spans="2:3" ht="28.5">
      <c r="B54" s="361"/>
      <c r="C54" s="270" t="s">
        <v>345</v>
      </c>
    </row>
    <row r="55" spans="2:3" ht="28.5">
      <c r="B55" s="361"/>
      <c r="C55" s="270" t="s">
        <v>350</v>
      </c>
    </row>
    <row r="56" spans="2:3" ht="28.5">
      <c r="B56" s="362"/>
      <c r="C56" s="270" t="s">
        <v>586</v>
      </c>
    </row>
    <row r="57" spans="2:3" ht="43.5" customHeight="1">
      <c r="B57" s="363" t="s">
        <v>587</v>
      </c>
      <c r="C57" s="270" t="s">
        <v>270</v>
      </c>
    </row>
    <row r="58" spans="2:3">
      <c r="B58" s="364"/>
      <c r="C58" s="266" t="s">
        <v>588</v>
      </c>
    </row>
    <row r="59" spans="2:3">
      <c r="B59" s="364"/>
      <c r="C59" s="270" t="s">
        <v>303</v>
      </c>
    </row>
    <row r="60" spans="2:3">
      <c r="B60" s="364"/>
      <c r="C60" s="270" t="s">
        <v>309</v>
      </c>
    </row>
    <row r="61" spans="2:3">
      <c r="B61" s="364"/>
      <c r="C61" s="270" t="s">
        <v>315</v>
      </c>
    </row>
    <row r="62" spans="2:3">
      <c r="B62" s="364"/>
      <c r="C62" s="266" t="s">
        <v>589</v>
      </c>
    </row>
    <row r="63" spans="2:3">
      <c r="B63" s="364"/>
      <c r="C63" s="270" t="s">
        <v>590</v>
      </c>
    </row>
    <row r="64" spans="2:3">
      <c r="B64" s="364"/>
      <c r="C64" s="270" t="s">
        <v>393</v>
      </c>
    </row>
    <row r="65" spans="2:3">
      <c r="B65" s="364"/>
      <c r="C65" s="266" t="s">
        <v>400</v>
      </c>
    </row>
    <row r="66" spans="2:3">
      <c r="B66" s="364"/>
      <c r="C66" s="270" t="s">
        <v>406</v>
      </c>
    </row>
    <row r="67" spans="2:3">
      <c r="B67" s="364"/>
      <c r="C67" s="270" t="s">
        <v>410</v>
      </c>
    </row>
    <row r="68" spans="2:3">
      <c r="B68" s="364"/>
      <c r="C68" s="270" t="s">
        <v>443</v>
      </c>
    </row>
    <row r="69" spans="2:3">
      <c r="B69" s="364"/>
      <c r="C69" s="270" t="s">
        <v>448</v>
      </c>
    </row>
    <row r="70" spans="2:3">
      <c r="B70" s="365"/>
      <c r="C70" s="270" t="s">
        <v>452</v>
      </c>
    </row>
    <row r="71" spans="2:3">
      <c r="B71" s="366" t="s">
        <v>591</v>
      </c>
      <c r="C71" s="270" t="s">
        <v>276</v>
      </c>
    </row>
    <row r="72" spans="2:3">
      <c r="B72" s="367"/>
      <c r="C72" s="270" t="s">
        <v>281</v>
      </c>
    </row>
    <row r="73" spans="2:3">
      <c r="B73" s="367"/>
      <c r="C73" s="270" t="s">
        <v>286</v>
      </c>
    </row>
    <row r="74" spans="2:3">
      <c r="B74" s="367"/>
      <c r="C74" s="270" t="s">
        <v>291</v>
      </c>
    </row>
    <row r="75" spans="2:3" ht="28.5">
      <c r="B75" s="367"/>
      <c r="C75" s="270" t="s">
        <v>362</v>
      </c>
    </row>
    <row r="76" spans="2:3" ht="28.5">
      <c r="B76" s="367"/>
      <c r="C76" s="270" t="s">
        <v>366</v>
      </c>
    </row>
    <row r="77" spans="2:3" ht="28.5">
      <c r="B77" s="367"/>
      <c r="C77" s="270" t="s">
        <v>373</v>
      </c>
    </row>
    <row r="78" spans="2:3" ht="43.5">
      <c r="B78" s="368"/>
      <c r="C78" s="270" t="s">
        <v>377</v>
      </c>
    </row>
    <row r="79" spans="2:3">
      <c r="B79" s="270" t="s">
        <v>592</v>
      </c>
      <c r="C79" s="266" t="s">
        <v>593</v>
      </c>
    </row>
    <row r="80" spans="2:3">
      <c r="B80" s="271"/>
      <c r="C80" s="271"/>
    </row>
    <row r="81" spans="2:3">
      <c r="B81" s="268"/>
      <c r="C81" s="268"/>
    </row>
    <row r="82" spans="2:3">
      <c r="B82" s="268"/>
      <c r="C82" s="268"/>
    </row>
    <row r="83" spans="2:3">
      <c r="B83" s="268"/>
      <c r="C83" s="268"/>
    </row>
    <row r="84" spans="2:3">
      <c r="B84" s="268"/>
      <c r="C84" s="268"/>
    </row>
    <row r="85" spans="2:3">
      <c r="B85" s="268"/>
      <c r="C85" s="268"/>
    </row>
  </sheetData>
  <mergeCells count="4">
    <mergeCell ref="C3:F3"/>
    <mergeCell ref="B51:B56"/>
    <mergeCell ref="B57:B70"/>
    <mergeCell ref="B71:B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BEC3-C1EB-4DBC-BC42-12CFCB1073FA}">
  <dimension ref="A1:AB1048313"/>
  <sheetViews>
    <sheetView zoomScale="130" zoomScaleNormal="130" workbookViewId="0">
      <pane ySplit="5" topLeftCell="P7" activePane="bottomLeft" state="frozen"/>
      <selection pane="bottomLeft" activeCell="P7" sqref="P7"/>
    </sheetView>
  </sheetViews>
  <sheetFormatPr defaultColWidth="11.42578125" defaultRowHeight="12.75"/>
  <cols>
    <col min="1" max="1" width="11.42578125" style="7"/>
    <col min="2" max="2" width="22" style="7" customWidth="1"/>
    <col min="3" max="3" width="12.5703125" style="7" bestFit="1" customWidth="1"/>
    <col min="4" max="4" width="22.28515625" style="7" customWidth="1"/>
    <col min="5" max="5" width="30.28515625" style="7" bestFit="1" customWidth="1"/>
    <col min="6" max="6" width="16.28515625" style="36" customWidth="1"/>
    <col min="7" max="7" width="32.5703125" style="7" customWidth="1"/>
    <col min="8" max="8" width="32.5703125" style="42" customWidth="1"/>
    <col min="9" max="10" width="11.42578125" style="7" customWidth="1"/>
    <col min="11" max="11" width="14" style="7" customWidth="1"/>
    <col min="12" max="12" width="11.42578125" style="7" customWidth="1"/>
    <col min="13" max="13" width="36.7109375" style="7" customWidth="1"/>
    <col min="14" max="14" width="11.42578125" style="7" customWidth="1"/>
    <col min="15" max="15" width="34.28515625" style="7" customWidth="1"/>
    <col min="16" max="16" width="11.42578125" style="7" customWidth="1"/>
    <col min="17" max="17" width="32.28515625" style="7" customWidth="1"/>
    <col min="18" max="18" width="11.42578125" style="7" customWidth="1"/>
    <col min="19" max="19" width="24.140625" style="7" customWidth="1"/>
    <col min="20" max="22" width="11.42578125" style="7" customWidth="1"/>
    <col min="23" max="23" width="17.85546875" style="7" customWidth="1"/>
    <col min="24" max="24" width="14.140625" style="7" customWidth="1"/>
    <col min="25" max="25" width="13.42578125" style="7" customWidth="1"/>
    <col min="26" max="26" width="11.42578125" style="7" customWidth="1"/>
    <col min="27" max="27" width="15.85546875" style="7" customWidth="1"/>
    <col min="28" max="28" width="11.7109375" style="7" bestFit="1" customWidth="1"/>
    <col min="29" max="31" width="48.85546875" style="7" customWidth="1"/>
    <col min="32" max="16365" width="11.42578125" style="7" customWidth="1"/>
    <col min="16366" max="16384" width="11.42578125" style="7"/>
  </cols>
  <sheetData>
    <row r="1" spans="1:28"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row>
    <row r="2" spans="1:28">
      <c r="D2" s="8"/>
      <c r="E2" s="38"/>
      <c r="F2" s="35"/>
      <c r="G2" s="9"/>
      <c r="H2" s="40"/>
      <c r="I2" s="9"/>
      <c r="J2" s="9"/>
      <c r="K2" s="9"/>
      <c r="L2" s="9"/>
      <c r="M2" s="9"/>
      <c r="N2" s="9"/>
      <c r="O2" s="9"/>
      <c r="P2" s="9"/>
      <c r="Q2" s="9"/>
      <c r="R2" s="9"/>
      <c r="S2" s="9"/>
      <c r="T2" s="9"/>
      <c r="U2" s="9"/>
      <c r="V2" s="9"/>
      <c r="W2" s="9"/>
      <c r="X2" s="9"/>
      <c r="Y2" s="9"/>
      <c r="Z2" s="9"/>
      <c r="AA2" s="9"/>
      <c r="AB2" s="9"/>
    </row>
    <row r="3" spans="1:28" ht="21.75" customHeight="1">
      <c r="A3" s="328" t="s">
        <v>1</v>
      </c>
      <c r="B3" s="330" t="s">
        <v>2</v>
      </c>
      <c r="C3" s="328" t="s">
        <v>84</v>
      </c>
      <c r="D3" s="331" t="s">
        <v>3</v>
      </c>
      <c r="E3" s="330" t="s">
        <v>4</v>
      </c>
      <c r="F3" s="330"/>
      <c r="G3" s="330"/>
      <c r="H3" s="330"/>
      <c r="I3" s="330"/>
      <c r="J3" s="330"/>
      <c r="K3" s="330" t="s">
        <v>5</v>
      </c>
      <c r="L3" s="330" t="s">
        <v>6</v>
      </c>
      <c r="M3" s="330"/>
      <c r="N3" s="330"/>
      <c r="O3" s="330"/>
      <c r="P3" s="330"/>
      <c r="Q3" s="330"/>
      <c r="R3" s="330"/>
      <c r="S3" s="330"/>
      <c r="T3" s="330" t="s">
        <v>7</v>
      </c>
      <c r="U3" s="330"/>
      <c r="V3" s="330" t="s">
        <v>8</v>
      </c>
      <c r="W3" s="330"/>
      <c r="X3" s="330"/>
      <c r="Y3" s="330"/>
      <c r="Z3" s="330" t="s">
        <v>9</v>
      </c>
      <c r="AA3" s="330" t="s">
        <v>10</v>
      </c>
      <c r="AB3" s="330" t="s">
        <v>11</v>
      </c>
    </row>
    <row r="4" spans="1:28" ht="24" customHeight="1">
      <c r="A4" s="329"/>
      <c r="B4" s="330"/>
      <c r="C4" s="329"/>
      <c r="D4" s="331"/>
      <c r="E4" s="332" t="s">
        <v>12</v>
      </c>
      <c r="F4" s="332" t="s">
        <v>13</v>
      </c>
      <c r="G4" s="330" t="s">
        <v>14</v>
      </c>
      <c r="H4" s="39" t="s">
        <v>15</v>
      </c>
      <c r="I4" s="330" t="s">
        <v>16</v>
      </c>
      <c r="J4" s="330"/>
      <c r="K4" s="330"/>
      <c r="L4" s="334" t="s">
        <v>17</v>
      </c>
      <c r="M4" s="334"/>
      <c r="N4" s="334" t="s">
        <v>18</v>
      </c>
      <c r="O4" s="334"/>
      <c r="P4" s="334" t="s">
        <v>19</v>
      </c>
      <c r="Q4" s="334"/>
      <c r="R4" s="334" t="s">
        <v>20</v>
      </c>
      <c r="S4" s="334"/>
      <c r="T4" s="335" t="s">
        <v>21</v>
      </c>
      <c r="U4" s="335" t="s">
        <v>22</v>
      </c>
      <c r="V4" s="335" t="s">
        <v>23</v>
      </c>
      <c r="W4" s="335" t="s">
        <v>24</v>
      </c>
      <c r="X4" s="330" t="s">
        <v>25</v>
      </c>
      <c r="Y4" s="330" t="s">
        <v>26</v>
      </c>
      <c r="Z4" s="330"/>
      <c r="AA4" s="330"/>
      <c r="AB4" s="330"/>
    </row>
    <row r="5" spans="1:28" ht="17.25" customHeight="1">
      <c r="A5" s="329"/>
      <c r="B5" s="330"/>
      <c r="C5" s="333"/>
      <c r="D5" s="331"/>
      <c r="E5" s="332"/>
      <c r="F5" s="332"/>
      <c r="G5" s="333"/>
      <c r="H5" s="39" t="s">
        <v>27</v>
      </c>
      <c r="I5" s="5" t="s">
        <v>28</v>
      </c>
      <c r="J5" s="5" t="s">
        <v>29</v>
      </c>
      <c r="K5" s="330"/>
      <c r="L5" s="5" t="s">
        <v>30</v>
      </c>
      <c r="M5" s="5" t="s">
        <v>31</v>
      </c>
      <c r="N5" s="5" t="s">
        <v>30</v>
      </c>
      <c r="O5" s="5" t="s">
        <v>31</v>
      </c>
      <c r="P5" s="5" t="s">
        <v>30</v>
      </c>
      <c r="Q5" s="5" t="s">
        <v>31</v>
      </c>
      <c r="R5" s="5" t="s">
        <v>30</v>
      </c>
      <c r="S5" s="5" t="s">
        <v>31</v>
      </c>
      <c r="T5" s="335"/>
      <c r="U5" s="335"/>
      <c r="V5" s="335"/>
      <c r="W5" s="335"/>
      <c r="X5" s="330"/>
      <c r="Y5" s="330"/>
      <c r="Z5" s="330"/>
      <c r="AA5" s="330"/>
      <c r="AB5" s="330"/>
    </row>
    <row r="6" spans="1:28" ht="116.25">
      <c r="A6" s="47">
        <v>1</v>
      </c>
      <c r="B6" s="103" t="s">
        <v>85</v>
      </c>
      <c r="C6" s="103">
        <v>1</v>
      </c>
      <c r="D6" s="103" t="s">
        <v>86</v>
      </c>
      <c r="E6" s="37" t="s">
        <v>34</v>
      </c>
      <c r="F6" s="37" t="s">
        <v>87</v>
      </c>
      <c r="G6" s="37" t="s">
        <v>88</v>
      </c>
      <c r="H6" s="70" t="s">
        <v>89</v>
      </c>
      <c r="I6" s="30"/>
      <c r="J6" s="30" t="s">
        <v>38</v>
      </c>
      <c r="K6" s="12" t="s">
        <v>90</v>
      </c>
      <c r="L6" s="43">
        <f>(90*0.25)/100</f>
        <v>0.22500000000000001</v>
      </c>
      <c r="M6" s="154" t="s">
        <v>91</v>
      </c>
      <c r="N6" s="43">
        <v>0.24</v>
      </c>
      <c r="O6" s="13" t="s">
        <v>91</v>
      </c>
      <c r="P6" s="43">
        <f>(45*0.25)/100</f>
        <v>0.1125</v>
      </c>
      <c r="Q6" s="13" t="s">
        <v>91</v>
      </c>
      <c r="R6" s="310">
        <f>(98*0.25)/100</f>
        <v>0.245</v>
      </c>
      <c r="S6" s="311" t="s">
        <v>91</v>
      </c>
      <c r="T6" s="14">
        <v>44927</v>
      </c>
      <c r="U6" s="14" t="s">
        <v>56</v>
      </c>
      <c r="V6" s="15"/>
      <c r="W6" s="15"/>
      <c r="X6" s="16">
        <v>5580770099</v>
      </c>
      <c r="Y6" s="16">
        <f t="shared" ref="Y6:Y12" si="0">SUM(V6+W6+X6)</f>
        <v>5580770099</v>
      </c>
      <c r="Z6" s="165">
        <f>SUM(L6+N6+P6+R6)</f>
        <v>0.82250000000000001</v>
      </c>
      <c r="AA6" s="17"/>
      <c r="AB6" s="72"/>
    </row>
    <row r="7" spans="1:28" ht="159">
      <c r="A7" s="48">
        <v>2</v>
      </c>
      <c r="B7" s="69" t="s">
        <v>92</v>
      </c>
      <c r="C7" s="69">
        <v>3</v>
      </c>
      <c r="D7" s="103" t="s">
        <v>93</v>
      </c>
      <c r="E7" s="37" t="s">
        <v>34</v>
      </c>
      <c r="F7" s="37" t="s">
        <v>94</v>
      </c>
      <c r="G7" s="29" t="s">
        <v>95</v>
      </c>
      <c r="H7" s="70" t="s">
        <v>37</v>
      </c>
      <c r="I7" s="28"/>
      <c r="J7" s="28" t="s">
        <v>38</v>
      </c>
      <c r="K7" s="12" t="s">
        <v>90</v>
      </c>
      <c r="L7" s="44">
        <v>0</v>
      </c>
      <c r="M7" s="155" t="s">
        <v>96</v>
      </c>
      <c r="N7" s="201">
        <v>0</v>
      </c>
      <c r="O7" s="20" t="s">
        <v>97</v>
      </c>
      <c r="P7" s="44">
        <v>0</v>
      </c>
      <c r="Q7" s="20" t="s">
        <v>98</v>
      </c>
      <c r="R7" s="79">
        <f>(2*0.25)/100</f>
        <v>5.0000000000000001E-3</v>
      </c>
      <c r="S7" s="80" t="s">
        <v>99</v>
      </c>
      <c r="T7" s="14">
        <v>44927</v>
      </c>
      <c r="U7" s="14" t="s">
        <v>56</v>
      </c>
      <c r="V7" s="22"/>
      <c r="W7" s="22"/>
      <c r="X7" s="23"/>
      <c r="Y7" s="23">
        <f t="shared" si="0"/>
        <v>0</v>
      </c>
      <c r="Z7" s="173">
        <f t="shared" ref="Z7:Z14" si="1">SUM(L7+N7+P7+R7)</f>
        <v>5.0000000000000001E-3</v>
      </c>
      <c r="AA7" s="24"/>
      <c r="AB7" s="151"/>
    </row>
    <row r="8" spans="1:28" ht="42.75">
      <c r="A8" s="48">
        <v>3</v>
      </c>
      <c r="B8" s="103" t="s">
        <v>100</v>
      </c>
      <c r="C8" s="103"/>
      <c r="D8" s="103" t="s">
        <v>101</v>
      </c>
      <c r="E8" s="37" t="s">
        <v>34</v>
      </c>
      <c r="F8" s="37" t="s">
        <v>46</v>
      </c>
      <c r="G8" s="29" t="s">
        <v>47</v>
      </c>
      <c r="H8" s="70" t="s">
        <v>37</v>
      </c>
      <c r="I8" s="28"/>
      <c r="J8" s="28" t="s">
        <v>38</v>
      </c>
      <c r="K8" s="12" t="s">
        <v>90</v>
      </c>
      <c r="L8" s="218"/>
      <c r="M8" s="219"/>
      <c r="N8" s="218"/>
      <c r="O8" s="153"/>
      <c r="P8" s="44"/>
      <c r="Q8" s="20"/>
      <c r="R8" s="218">
        <v>0</v>
      </c>
      <c r="S8" s="153"/>
      <c r="T8" s="14">
        <v>44927</v>
      </c>
      <c r="U8" s="14" t="s">
        <v>56</v>
      </c>
      <c r="V8" s="22"/>
      <c r="W8" s="22"/>
      <c r="X8" s="23"/>
      <c r="Y8" s="23">
        <f t="shared" si="0"/>
        <v>0</v>
      </c>
      <c r="Z8" s="173">
        <f t="shared" si="1"/>
        <v>0</v>
      </c>
      <c r="AA8" s="24"/>
      <c r="AB8" s="152"/>
    </row>
    <row r="9" spans="1:28" ht="180">
      <c r="A9" s="47">
        <v>4</v>
      </c>
      <c r="B9" s="103" t="s">
        <v>102</v>
      </c>
      <c r="C9" s="103"/>
      <c r="D9" s="103" t="s">
        <v>103</v>
      </c>
      <c r="E9" s="37" t="s">
        <v>34</v>
      </c>
      <c r="F9" s="37" t="s">
        <v>46</v>
      </c>
      <c r="G9" s="29" t="s">
        <v>95</v>
      </c>
      <c r="H9" s="70" t="s">
        <v>37</v>
      </c>
      <c r="I9" s="28"/>
      <c r="J9" s="28" t="s">
        <v>38</v>
      </c>
      <c r="K9" s="12" t="s">
        <v>90</v>
      </c>
      <c r="L9" s="44">
        <f>(25*0.5)/100</f>
        <v>0.125</v>
      </c>
      <c r="M9" s="155" t="s">
        <v>104</v>
      </c>
      <c r="N9" s="201">
        <v>0.25</v>
      </c>
      <c r="O9" s="20" t="s">
        <v>105</v>
      </c>
      <c r="P9" s="44">
        <v>0.25</v>
      </c>
      <c r="Q9" s="20" t="s">
        <v>106</v>
      </c>
      <c r="R9" s="79">
        <f>(80*0.25)/100</f>
        <v>0.2</v>
      </c>
      <c r="S9" s="80" t="s">
        <v>106</v>
      </c>
      <c r="T9" s="14">
        <v>44927</v>
      </c>
      <c r="U9" s="14" t="s">
        <v>56</v>
      </c>
      <c r="V9" s="22">
        <v>180000000</v>
      </c>
      <c r="W9" s="22"/>
      <c r="X9" s="23"/>
      <c r="Y9" s="23">
        <f t="shared" si="0"/>
        <v>180000000</v>
      </c>
      <c r="Z9" s="173">
        <f t="shared" si="1"/>
        <v>0.82499999999999996</v>
      </c>
      <c r="AA9" s="24"/>
      <c r="AB9" s="164"/>
    </row>
    <row r="10" spans="1:28" ht="74.25">
      <c r="A10" s="48">
        <v>5</v>
      </c>
      <c r="B10" s="103" t="s">
        <v>107</v>
      </c>
      <c r="C10" s="103">
        <v>1</v>
      </c>
      <c r="D10" s="103" t="s">
        <v>86</v>
      </c>
      <c r="E10" s="37" t="s">
        <v>34</v>
      </c>
      <c r="F10" s="37" t="s">
        <v>46</v>
      </c>
      <c r="G10" s="29" t="s">
        <v>95</v>
      </c>
      <c r="H10" s="70" t="s">
        <v>37</v>
      </c>
      <c r="I10" s="28"/>
      <c r="J10" s="28" t="s">
        <v>38</v>
      </c>
      <c r="K10" s="12" t="s">
        <v>90</v>
      </c>
      <c r="L10" s="44">
        <v>0.25</v>
      </c>
      <c r="M10" s="155" t="s">
        <v>108</v>
      </c>
      <c r="N10" s="44">
        <v>0.25</v>
      </c>
      <c r="O10" s="155" t="s">
        <v>108</v>
      </c>
      <c r="P10" s="44">
        <v>0.25</v>
      </c>
      <c r="Q10" s="281" t="s">
        <v>109</v>
      </c>
      <c r="R10" s="79">
        <f>(6.67*0.25)/100</f>
        <v>1.6674999999999999E-2</v>
      </c>
      <c r="S10" s="281" t="s">
        <v>110</v>
      </c>
      <c r="T10" s="14">
        <v>44927</v>
      </c>
      <c r="U10" s="14" t="s">
        <v>56</v>
      </c>
      <c r="V10" s="22"/>
      <c r="W10" s="22"/>
      <c r="X10" s="23"/>
      <c r="Y10" s="23">
        <f t="shared" si="0"/>
        <v>0</v>
      </c>
      <c r="Z10" s="173">
        <f t="shared" si="1"/>
        <v>0.766675</v>
      </c>
      <c r="AA10" s="24"/>
      <c r="AB10" s="68"/>
    </row>
    <row r="11" spans="1:28" ht="409.6">
      <c r="A11" s="47">
        <v>6</v>
      </c>
      <c r="B11" s="69" t="s">
        <v>111</v>
      </c>
      <c r="C11" s="69" t="s">
        <v>112</v>
      </c>
      <c r="D11" s="103" t="s">
        <v>86</v>
      </c>
      <c r="E11" s="37" t="s">
        <v>34</v>
      </c>
      <c r="F11" s="37" t="s">
        <v>46</v>
      </c>
      <c r="G11" s="29" t="s">
        <v>95</v>
      </c>
      <c r="H11" s="70" t="s">
        <v>37</v>
      </c>
      <c r="I11" s="28"/>
      <c r="J11" s="28" t="s">
        <v>38</v>
      </c>
      <c r="K11" s="12" t="s">
        <v>90</v>
      </c>
      <c r="L11" s="28">
        <v>0.1</v>
      </c>
      <c r="M11" s="156" t="s">
        <v>113</v>
      </c>
      <c r="N11" s="201">
        <v>0.17499999999999999</v>
      </c>
      <c r="O11" s="156" t="s">
        <v>113</v>
      </c>
      <c r="P11" s="44">
        <f>(35*0.25)/100</f>
        <v>8.7499999999999994E-2</v>
      </c>
      <c r="Q11" s="157" t="s">
        <v>113</v>
      </c>
      <c r="R11" s="79">
        <f>(45*0.25)/100</f>
        <v>0.1125</v>
      </c>
      <c r="S11" s="157" t="s">
        <v>113</v>
      </c>
      <c r="T11" s="14">
        <v>44927</v>
      </c>
      <c r="U11" s="14" t="s">
        <v>56</v>
      </c>
      <c r="V11" s="22"/>
      <c r="W11" s="22"/>
      <c r="X11" s="23"/>
      <c r="Y11" s="23">
        <f t="shared" si="0"/>
        <v>0</v>
      </c>
      <c r="Z11" s="173">
        <f t="shared" si="1"/>
        <v>0.47500000000000003</v>
      </c>
      <c r="AA11" s="24"/>
      <c r="AB11" s="152"/>
    </row>
    <row r="12" spans="1:28" ht="409.6">
      <c r="A12" s="48">
        <v>7</v>
      </c>
      <c r="B12" s="103" t="s">
        <v>114</v>
      </c>
      <c r="C12" s="69" t="s">
        <v>112</v>
      </c>
      <c r="D12" s="103" t="s">
        <v>86</v>
      </c>
      <c r="E12" s="37" t="s">
        <v>34</v>
      </c>
      <c r="F12" s="37" t="s">
        <v>46</v>
      </c>
      <c r="G12" s="29" t="s">
        <v>95</v>
      </c>
      <c r="H12" s="70" t="s">
        <v>37</v>
      </c>
      <c r="I12" s="28"/>
      <c r="J12" s="28" t="s">
        <v>38</v>
      </c>
      <c r="K12" s="12" t="s">
        <v>90</v>
      </c>
      <c r="L12" s="28">
        <v>0.1</v>
      </c>
      <c r="M12" s="156" t="s">
        <v>113</v>
      </c>
      <c r="N12" s="201">
        <v>0.17499999999999999</v>
      </c>
      <c r="O12" s="156" t="s">
        <v>113</v>
      </c>
      <c r="P12" s="44">
        <f>(35*0.25)/100</f>
        <v>8.7499999999999994E-2</v>
      </c>
      <c r="Q12" s="157" t="s">
        <v>113</v>
      </c>
      <c r="R12" s="79">
        <f>(45*0.25)/100</f>
        <v>0.1125</v>
      </c>
      <c r="S12" s="157" t="s">
        <v>113</v>
      </c>
      <c r="T12" s="14">
        <v>44927</v>
      </c>
      <c r="U12" s="14" t="s">
        <v>56</v>
      </c>
      <c r="V12" s="22"/>
      <c r="W12" s="22"/>
      <c r="X12" s="23"/>
      <c r="Y12" s="23">
        <f t="shared" si="0"/>
        <v>0</v>
      </c>
      <c r="Z12" s="173">
        <f t="shared" si="1"/>
        <v>0.47500000000000003</v>
      </c>
      <c r="AA12" s="24"/>
      <c r="AB12" s="152"/>
    </row>
    <row r="13" spans="1:28" ht="42.75">
      <c r="A13" s="48">
        <v>8</v>
      </c>
      <c r="B13" s="103" t="s">
        <v>115</v>
      </c>
      <c r="C13" s="103"/>
      <c r="D13" s="103" t="s">
        <v>116</v>
      </c>
      <c r="E13" s="53" t="s">
        <v>34</v>
      </c>
      <c r="F13" s="53" t="s">
        <v>46</v>
      </c>
      <c r="G13" s="76" t="s">
        <v>95</v>
      </c>
      <c r="H13" s="77" t="s">
        <v>37</v>
      </c>
      <c r="I13" s="28" t="s">
        <v>38</v>
      </c>
      <c r="J13" s="28"/>
      <c r="K13" s="12" t="s">
        <v>90</v>
      </c>
      <c r="L13" s="28">
        <f>(25*0.5)/100</f>
        <v>0.125</v>
      </c>
      <c r="M13" s="156" t="s">
        <v>117</v>
      </c>
      <c r="N13" s="201">
        <v>0</v>
      </c>
      <c r="O13" s="202" t="s">
        <v>118</v>
      </c>
      <c r="P13" s="201">
        <v>0</v>
      </c>
      <c r="Q13" s="312" t="s">
        <v>118</v>
      </c>
      <c r="R13" s="201">
        <v>0</v>
      </c>
      <c r="S13" s="312" t="s">
        <v>118</v>
      </c>
      <c r="T13" s="14">
        <v>44927</v>
      </c>
      <c r="U13" s="14" t="s">
        <v>56</v>
      </c>
      <c r="V13" s="22"/>
      <c r="W13" s="22"/>
      <c r="X13" s="23"/>
      <c r="Y13" s="23"/>
      <c r="Z13" s="173">
        <f t="shared" si="1"/>
        <v>0.125</v>
      </c>
      <c r="AA13" s="24"/>
      <c r="AB13" s="24"/>
    </row>
    <row r="14" spans="1:28" ht="52.5">
      <c r="A14" s="71">
        <v>9</v>
      </c>
      <c r="B14" s="103" t="s">
        <v>119</v>
      </c>
      <c r="C14" s="103"/>
      <c r="D14" s="103" t="s">
        <v>103</v>
      </c>
      <c r="E14" s="53" t="s">
        <v>34</v>
      </c>
      <c r="F14" s="53" t="s">
        <v>46</v>
      </c>
      <c r="G14" s="76" t="s">
        <v>95</v>
      </c>
      <c r="H14" s="77" t="s">
        <v>89</v>
      </c>
      <c r="I14" s="78"/>
      <c r="J14" s="78" t="s">
        <v>38</v>
      </c>
      <c r="K14" s="67" t="s">
        <v>90</v>
      </c>
      <c r="L14" s="78">
        <f>(25*0.5)/100</f>
        <v>0.125</v>
      </c>
      <c r="M14" s="157" t="s">
        <v>120</v>
      </c>
      <c r="N14" s="203">
        <v>0</v>
      </c>
      <c r="O14" s="157" t="s">
        <v>120</v>
      </c>
      <c r="P14" s="203">
        <v>0</v>
      </c>
      <c r="Q14" s="157" t="s">
        <v>120</v>
      </c>
      <c r="R14" s="203">
        <v>0</v>
      </c>
      <c r="S14" s="157" t="s">
        <v>120</v>
      </c>
      <c r="T14" s="81">
        <v>44927</v>
      </c>
      <c r="U14" s="81" t="s">
        <v>56</v>
      </c>
      <c r="V14" s="82"/>
      <c r="W14" s="82"/>
      <c r="X14" s="83"/>
      <c r="Y14" s="83">
        <f>SUM(V14+W14+X14)</f>
        <v>0</v>
      </c>
      <c r="Z14" s="173">
        <f t="shared" si="1"/>
        <v>0.125</v>
      </c>
      <c r="AA14" s="84"/>
      <c r="AB14" s="88"/>
    </row>
    <row r="15" spans="1:28" ht="19.5">
      <c r="L15" s="174">
        <f>SUM(L6:L14)/9</f>
        <v>0.11666666666666664</v>
      </c>
      <c r="M15" s="174"/>
      <c r="N15" s="174">
        <f t="shared" ref="M15:S15" si="2">SUM(N6:N14)/9</f>
        <v>0.12111111111111111</v>
      </c>
      <c r="O15" s="174"/>
      <c r="P15" s="174">
        <f t="shared" si="2"/>
        <v>8.7500000000000008E-2</v>
      </c>
      <c r="Q15" s="174"/>
      <c r="R15" s="174">
        <f t="shared" si="2"/>
        <v>7.6852777777777784E-2</v>
      </c>
      <c r="S15" s="174"/>
      <c r="Z15" s="172">
        <f>SUM(Z6:Z14)/9</f>
        <v>0.4021305555555556</v>
      </c>
    </row>
    <row r="18" spans="9:16">
      <c r="I18" s="66"/>
      <c r="M18" s="209"/>
      <c r="N18" s="209"/>
      <c r="O18" s="66"/>
    </row>
    <row r="19" spans="9:16">
      <c r="O19" s="66"/>
    </row>
    <row r="23" spans="9:16">
      <c r="P23" s="209"/>
    </row>
    <row r="1048313" ht="15" customHeight="1"/>
  </sheetData>
  <mergeCells count="27">
    <mergeCell ref="C3:C5"/>
    <mergeCell ref="T4:T5"/>
    <mergeCell ref="U4:U5"/>
    <mergeCell ref="V4:V5"/>
    <mergeCell ref="W4:W5"/>
    <mergeCell ref="X4:X5"/>
    <mergeCell ref="I4:J4"/>
    <mergeCell ref="L4:M4"/>
    <mergeCell ref="N4:O4"/>
    <mergeCell ref="P4:Q4"/>
    <mergeCell ref="R4:S4"/>
    <mergeCell ref="A1:AB1"/>
    <mergeCell ref="A3:A5"/>
    <mergeCell ref="B3:B5"/>
    <mergeCell ref="D3:D5"/>
    <mergeCell ref="E3:J3"/>
    <mergeCell ref="K3:K5"/>
    <mergeCell ref="L3:S3"/>
    <mergeCell ref="T3:U3"/>
    <mergeCell ref="V3:Y3"/>
    <mergeCell ref="Z3:Z5"/>
    <mergeCell ref="Y4:Y5"/>
    <mergeCell ref="AA3:AA5"/>
    <mergeCell ref="AB3:AB5"/>
    <mergeCell ref="E4:E5"/>
    <mergeCell ref="F4:F5"/>
    <mergeCell ref="G4:G5"/>
  </mergeCell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64375A7E-A649-462C-9AA9-7201036704E9}">
          <x14:formula1>
            <xm:f>'Hoja Formulación'!$C$6:$C$16</xm:f>
          </x14:formula1>
          <xm:sqref>F4:F5</xm:sqref>
        </x14:dataValidation>
        <x14:dataValidation type="list" allowBlank="1" showInputMessage="1" showErrorMessage="1" xr:uid="{C5C8DB16-ADDA-45DC-BCD5-73FA6C2A4E7B}">
          <x14:formula1>
            <xm:f>'Hoja Formulación'!$C$6:$C$17</xm:f>
          </x14:formula1>
          <xm:sqref>F6:F14</xm:sqref>
        </x14:dataValidation>
        <x14:dataValidation type="list" allowBlank="1" showInputMessage="1" showErrorMessage="1" xr:uid="{9DB18D53-C31F-40C7-A35B-8B2E314C498F}">
          <x14:formula1>
            <xm:f>'Hoja Formulación'!$E$6:$E$16</xm:f>
          </x14:formula1>
          <xm:sqref>H6:H14</xm:sqref>
        </x14:dataValidation>
        <x14:dataValidation type="list" allowBlank="1" showInputMessage="1" showErrorMessage="1" xr:uid="{B4A34707-618F-46BF-B172-78A88727E3B6}">
          <x14:formula1>
            <xm:f>'Hoja Formulación'!$D$6:$D$23</xm:f>
          </x14:formula1>
          <xm:sqref>G6:G14</xm:sqref>
        </x14:dataValidation>
        <x14:dataValidation type="list" allowBlank="1" showInputMessage="1" showErrorMessage="1" xr:uid="{3C691730-71F0-4A36-B3B8-BC0B1A1CF5F0}">
          <x14:formula1>
            <xm:f>'Hoja Formulación'!$B$6:$B$8</xm:f>
          </x14:formula1>
          <xm:sqref>E4:E14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48311"/>
  <sheetViews>
    <sheetView zoomScale="130" zoomScaleNormal="130" workbookViewId="0">
      <pane ySplit="5" topLeftCell="N16" activePane="bottomLeft" state="frozen"/>
      <selection pane="bottomLeft" activeCell="N16" sqref="N16"/>
    </sheetView>
  </sheetViews>
  <sheetFormatPr defaultColWidth="11.42578125" defaultRowHeight="12.75"/>
  <cols>
    <col min="1" max="1" width="11.42578125" style="38"/>
    <col min="2" max="2" width="32.5703125" style="38" customWidth="1"/>
    <col min="3" max="3" width="22.28515625" style="38" customWidth="1"/>
    <col min="4" max="4" width="30.28515625" style="38" bestFit="1" customWidth="1"/>
    <col min="5" max="5" width="59" style="35" customWidth="1"/>
    <col min="6" max="6" width="32.5703125" style="38" customWidth="1"/>
    <col min="7" max="7" width="47.7109375" style="40" customWidth="1"/>
    <col min="8" max="9" width="11.42578125" style="38" customWidth="1"/>
    <col min="10" max="10" width="14" style="38" customWidth="1"/>
    <col min="11" max="11" width="11.42578125" style="38" customWidth="1"/>
    <col min="12" max="12" width="29.140625" style="38" customWidth="1"/>
    <col min="13" max="13" width="11.42578125" style="38" customWidth="1"/>
    <col min="14" max="14" width="23.85546875" style="38" customWidth="1"/>
    <col min="15" max="15" width="11.42578125" style="38" customWidth="1"/>
    <col min="16" max="16" width="14.5703125" style="38" bestFit="1" customWidth="1"/>
    <col min="17" max="17" width="11.42578125" style="38" customWidth="1"/>
    <col min="18" max="18" width="14.5703125" style="38" bestFit="1" customWidth="1"/>
    <col min="19" max="21" width="11.42578125" style="38" customWidth="1"/>
    <col min="22" max="22" width="17.85546875" style="38" customWidth="1"/>
    <col min="23" max="23" width="11.42578125" style="38" customWidth="1"/>
    <col min="24" max="24" width="13.42578125" style="38" customWidth="1"/>
    <col min="25" max="25" width="11.42578125" style="38" customWidth="1"/>
    <col min="26" max="27" width="15.85546875" style="38" customWidth="1"/>
    <col min="28" max="29" width="11.42578125" style="38" customWidth="1"/>
    <col min="30"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F2" s="9"/>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128.25" customHeight="1">
      <c r="A6" s="47">
        <v>1</v>
      </c>
      <c r="B6" s="73" t="s">
        <v>121</v>
      </c>
      <c r="C6" s="11" t="s">
        <v>122</v>
      </c>
      <c r="D6" s="37" t="s">
        <v>123</v>
      </c>
      <c r="E6" s="34" t="s">
        <v>46</v>
      </c>
      <c r="F6" s="37" t="s">
        <v>88</v>
      </c>
      <c r="G6" s="41" t="s">
        <v>89</v>
      </c>
      <c r="H6" s="30" t="s">
        <v>38</v>
      </c>
      <c r="I6" s="30"/>
      <c r="J6" s="12" t="s">
        <v>124</v>
      </c>
      <c r="K6" s="43">
        <f>2*10/100</f>
        <v>0.2</v>
      </c>
      <c r="L6" s="13" t="s">
        <v>125</v>
      </c>
      <c r="M6" s="43">
        <v>0.25</v>
      </c>
      <c r="N6" s="277" t="s">
        <v>126</v>
      </c>
      <c r="O6" s="43">
        <v>0.25</v>
      </c>
      <c r="P6" s="13" t="s">
        <v>127</v>
      </c>
      <c r="Q6" s="282">
        <v>0</v>
      </c>
      <c r="R6" s="296"/>
      <c r="S6" s="14">
        <v>44927</v>
      </c>
      <c r="T6" s="14" t="s">
        <v>56</v>
      </c>
      <c r="U6" s="15"/>
      <c r="V6" s="15"/>
      <c r="W6" s="16">
        <v>5000000</v>
      </c>
      <c r="X6" s="16">
        <f t="shared" ref="X6:X11" si="0">SUM(U6+V6+W6)</f>
        <v>5000000</v>
      </c>
      <c r="Y6" s="165">
        <f>SUM(K6+M6+O6+Q6)</f>
        <v>0.7</v>
      </c>
      <c r="Z6" s="74"/>
      <c r="AA6" s="74"/>
    </row>
    <row r="7" spans="1:27" ht="69" customHeight="1">
      <c r="A7" s="48">
        <v>2</v>
      </c>
      <c r="B7" s="56" t="s">
        <v>128</v>
      </c>
      <c r="C7" s="19" t="s">
        <v>129</v>
      </c>
      <c r="D7" s="37" t="s">
        <v>123</v>
      </c>
      <c r="E7" s="34" t="s">
        <v>46</v>
      </c>
      <c r="F7" s="29" t="s">
        <v>130</v>
      </c>
      <c r="G7" s="41" t="s">
        <v>131</v>
      </c>
      <c r="H7" s="58" t="s">
        <v>38</v>
      </c>
      <c r="I7" s="28"/>
      <c r="J7" s="4" t="s">
        <v>132</v>
      </c>
      <c r="K7" s="44">
        <v>0.25</v>
      </c>
      <c r="L7" s="20" t="s">
        <v>133</v>
      </c>
      <c r="M7" s="44">
        <v>0.25</v>
      </c>
      <c r="N7" s="20" t="s">
        <v>133</v>
      </c>
      <c r="O7" s="44">
        <v>0.25</v>
      </c>
      <c r="P7" s="20" t="s">
        <v>133</v>
      </c>
      <c r="Q7" s="44">
        <v>0.25</v>
      </c>
      <c r="R7" s="20" t="s">
        <v>133</v>
      </c>
      <c r="S7" s="14">
        <v>44927</v>
      </c>
      <c r="T7" s="14" t="s">
        <v>56</v>
      </c>
      <c r="U7" s="22"/>
      <c r="V7" s="22"/>
      <c r="W7" s="23"/>
      <c r="X7" s="23">
        <f t="shared" si="0"/>
        <v>0</v>
      </c>
      <c r="Y7" s="145">
        <f t="shared" ref="Y7:Y11" si="1">SUM(K7+M7+O7+Q7)</f>
        <v>1</v>
      </c>
      <c r="Z7" s="75"/>
      <c r="AA7" s="75"/>
    </row>
    <row r="8" spans="1:27" ht="75.75" customHeight="1">
      <c r="A8" s="48">
        <v>3</v>
      </c>
      <c r="B8" s="89" t="s">
        <v>134</v>
      </c>
      <c r="C8" s="25" t="s">
        <v>45</v>
      </c>
      <c r="D8" s="37" t="s">
        <v>123</v>
      </c>
      <c r="E8" s="34" t="s">
        <v>46</v>
      </c>
      <c r="F8" s="29" t="s">
        <v>47</v>
      </c>
      <c r="G8" s="86" t="s">
        <v>135</v>
      </c>
      <c r="H8" s="85"/>
      <c r="I8" s="87" t="s">
        <v>38</v>
      </c>
      <c r="J8" s="4" t="s">
        <v>136</v>
      </c>
      <c r="K8" s="44">
        <v>0.25</v>
      </c>
      <c r="L8" s="20" t="s">
        <v>137</v>
      </c>
      <c r="M8" s="44">
        <v>0.25</v>
      </c>
      <c r="N8" s="20" t="s">
        <v>137</v>
      </c>
      <c r="O8" s="44">
        <v>0.25</v>
      </c>
      <c r="P8" s="20" t="s">
        <v>137</v>
      </c>
      <c r="Q8" s="44">
        <v>0.25</v>
      </c>
      <c r="R8" s="20" t="s">
        <v>137</v>
      </c>
      <c r="S8" s="14">
        <v>44927</v>
      </c>
      <c r="T8" s="14" t="s">
        <v>56</v>
      </c>
      <c r="U8" s="22"/>
      <c r="V8" s="22"/>
      <c r="W8" s="23"/>
      <c r="X8" s="23">
        <f t="shared" si="0"/>
        <v>0</v>
      </c>
      <c r="Y8" s="145">
        <f t="shared" si="1"/>
        <v>1</v>
      </c>
      <c r="Z8" s="75"/>
      <c r="AA8" s="75"/>
    </row>
    <row r="9" spans="1:27" ht="88.5" customHeight="1">
      <c r="A9" s="90">
        <v>4</v>
      </c>
      <c r="B9" s="91" t="s">
        <v>138</v>
      </c>
      <c r="C9" s="26" t="s">
        <v>139</v>
      </c>
      <c r="D9" s="37" t="s">
        <v>123</v>
      </c>
      <c r="E9" s="93" t="s">
        <v>140</v>
      </c>
      <c r="F9" s="29" t="s">
        <v>130</v>
      </c>
      <c r="G9" s="41" t="s">
        <v>89</v>
      </c>
      <c r="H9" s="30" t="s">
        <v>38</v>
      </c>
      <c r="I9" s="28"/>
      <c r="J9" s="27" t="s">
        <v>141</v>
      </c>
      <c r="K9" s="28">
        <v>0.25</v>
      </c>
      <c r="L9" s="28" t="s">
        <v>142</v>
      </c>
      <c r="M9" s="44">
        <v>0.25</v>
      </c>
      <c r="N9" s="28" t="s">
        <v>143</v>
      </c>
      <c r="O9" s="44">
        <v>0.25</v>
      </c>
      <c r="P9" s="20" t="s">
        <v>144</v>
      </c>
      <c r="Q9" s="44">
        <v>0.25</v>
      </c>
      <c r="R9" s="20" t="s">
        <v>145</v>
      </c>
      <c r="S9" s="14">
        <v>44927</v>
      </c>
      <c r="T9" s="14" t="s">
        <v>56</v>
      </c>
      <c r="U9" s="22"/>
      <c r="V9" s="22"/>
      <c r="W9" s="23"/>
      <c r="X9" s="23">
        <f t="shared" si="0"/>
        <v>0</v>
      </c>
      <c r="Y9" s="145">
        <f t="shared" si="1"/>
        <v>1</v>
      </c>
      <c r="Z9" s="75"/>
      <c r="AA9" s="75"/>
    </row>
    <row r="10" spans="1:27" ht="56.25" customHeight="1">
      <c r="A10" s="92">
        <v>5</v>
      </c>
      <c r="B10" s="91" t="s">
        <v>146</v>
      </c>
      <c r="C10" s="26" t="s">
        <v>139</v>
      </c>
      <c r="D10" s="37" t="s">
        <v>123</v>
      </c>
      <c r="E10" s="93" t="s">
        <v>140</v>
      </c>
      <c r="F10" s="29" t="s">
        <v>88</v>
      </c>
      <c r="G10" s="41" t="s">
        <v>89</v>
      </c>
      <c r="H10" s="28" t="s">
        <v>38</v>
      </c>
      <c r="I10" s="28"/>
      <c r="J10" s="27" t="s">
        <v>147</v>
      </c>
      <c r="K10" s="44">
        <v>0.25</v>
      </c>
      <c r="L10" s="20" t="s">
        <v>148</v>
      </c>
      <c r="M10" s="44">
        <v>0.25</v>
      </c>
      <c r="N10" s="20" t="s">
        <v>148</v>
      </c>
      <c r="O10" s="44">
        <v>0.25</v>
      </c>
      <c r="P10" s="20" t="s">
        <v>148</v>
      </c>
      <c r="Q10" s="44">
        <v>0.25</v>
      </c>
      <c r="R10" s="20" t="s">
        <v>148</v>
      </c>
      <c r="S10" s="14">
        <v>44927</v>
      </c>
      <c r="T10" s="14" t="s">
        <v>56</v>
      </c>
      <c r="U10" s="22"/>
      <c r="V10" s="22"/>
      <c r="W10" s="23"/>
      <c r="X10" s="23">
        <f t="shared" si="0"/>
        <v>0</v>
      </c>
      <c r="Y10" s="145">
        <f t="shared" si="1"/>
        <v>1</v>
      </c>
      <c r="Z10" s="75"/>
      <c r="AA10" s="75"/>
    </row>
    <row r="11" spans="1:27" ht="26.25" customHeight="1">
      <c r="A11" s="92">
        <v>6</v>
      </c>
      <c r="B11" s="91" t="s">
        <v>149</v>
      </c>
      <c r="C11" s="26" t="s">
        <v>139</v>
      </c>
      <c r="D11" s="37" t="s">
        <v>34</v>
      </c>
      <c r="E11" s="93" t="s">
        <v>150</v>
      </c>
      <c r="F11" s="29" t="s">
        <v>88</v>
      </c>
      <c r="G11" s="41" t="s">
        <v>151</v>
      </c>
      <c r="H11" s="28" t="s">
        <v>38</v>
      </c>
      <c r="I11" s="28"/>
      <c r="J11" s="27"/>
      <c r="K11" s="44">
        <v>0.25</v>
      </c>
      <c r="L11" s="20" t="s">
        <v>152</v>
      </c>
      <c r="M11" s="44">
        <v>0.25</v>
      </c>
      <c r="N11" s="20" t="s">
        <v>152</v>
      </c>
      <c r="O11" s="44">
        <v>0.25</v>
      </c>
      <c r="P11" s="20" t="s">
        <v>152</v>
      </c>
      <c r="Q11" s="44">
        <v>0.25</v>
      </c>
      <c r="R11" s="20" t="s">
        <v>152</v>
      </c>
      <c r="S11" s="14">
        <v>44927</v>
      </c>
      <c r="T11" s="14" t="s">
        <v>56</v>
      </c>
      <c r="U11" s="22"/>
      <c r="V11" s="22"/>
      <c r="W11" s="23"/>
      <c r="X11" s="23">
        <f t="shared" si="0"/>
        <v>0</v>
      </c>
      <c r="Y11" s="145">
        <f t="shared" si="1"/>
        <v>1</v>
      </c>
      <c r="Z11" s="75"/>
      <c r="AA11" s="75"/>
    </row>
    <row r="12" spans="1:27" ht="19.5">
      <c r="K12" s="171">
        <f>SUM(K6:K11)/6</f>
        <v>0.24166666666666667</v>
      </c>
      <c r="L12" s="171"/>
      <c r="M12" s="171">
        <f t="shared" ref="L12:R12" si="2">SUM(M6:M11)/6</f>
        <v>0.25</v>
      </c>
      <c r="N12" s="171"/>
      <c r="O12" s="171">
        <f t="shared" si="2"/>
        <v>0.25</v>
      </c>
      <c r="P12" s="171"/>
      <c r="Q12" s="171">
        <f t="shared" si="2"/>
        <v>0.20833333333333334</v>
      </c>
      <c r="R12" s="171"/>
      <c r="Y12" s="171">
        <f>SUM(Y6:Y11)/6</f>
        <v>0.95000000000000007</v>
      </c>
    </row>
    <row r="16" spans="1:27">
      <c r="N16" s="320">
        <f>125/3</f>
        <v>41.666666666666664</v>
      </c>
    </row>
    <row r="1048311"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'Hoja Formulación'!$C$6:$C$16</xm:f>
          </x14:formula1>
          <xm:sqref>E4:E5</xm:sqref>
        </x14:dataValidation>
        <x14:dataValidation type="list" allowBlank="1" showInputMessage="1" showErrorMessage="1" xr:uid="{00000000-0002-0000-0200-000000000000}">
          <x14:formula1>
            <xm:f>'Hoja Formulación'!$B$6:$B$8</xm:f>
          </x14:formula1>
          <xm:sqref>D4:D11</xm:sqref>
        </x14:dataValidation>
        <x14:dataValidation type="list" allowBlank="1" showInputMessage="1" showErrorMessage="1" xr:uid="{00000000-0002-0000-0200-000002000000}">
          <x14:formula1>
            <xm:f>'Hoja Formulación'!$D$6:$D$23</xm:f>
          </x14:formula1>
          <xm:sqref>F6:F11</xm:sqref>
        </x14:dataValidation>
        <x14:dataValidation type="list" allowBlank="1" showInputMessage="1" showErrorMessage="1" xr:uid="{00000000-0002-0000-0200-000003000000}">
          <x14:formula1>
            <xm:f>'Hoja Formulación'!$E$6:$E$16</xm:f>
          </x14:formula1>
          <xm:sqref>G6:G11</xm:sqref>
        </x14:dataValidation>
        <x14:dataValidation type="list" allowBlank="1" showInputMessage="1" showErrorMessage="1" xr:uid="{00000000-0002-0000-0200-000004000000}">
          <x14:formula1>
            <xm:f>'Hoja Formulación'!$C$6:$C$17</xm:f>
          </x14:formula1>
          <xm:sqref>E6:E11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48307"/>
  <sheetViews>
    <sheetView topLeftCell="F1" zoomScale="130" zoomScaleNormal="130" workbookViewId="0">
      <selection activeCell="N25" sqref="N25"/>
    </sheetView>
  </sheetViews>
  <sheetFormatPr defaultColWidth="11.42578125" defaultRowHeight="10.5"/>
  <cols>
    <col min="1" max="1" width="11.42578125" style="7"/>
    <col min="2" max="2" width="26.140625" style="7" customWidth="1"/>
    <col min="3" max="3" width="22.28515625" style="7" customWidth="1"/>
    <col min="4" max="4" width="30.28515625" style="7" bestFit="1" customWidth="1"/>
    <col min="5" max="5" width="29.42578125" style="36"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74.25">
      <c r="A6" s="18">
        <v>1</v>
      </c>
      <c r="B6" s="56" t="s">
        <v>153</v>
      </c>
      <c r="C6" s="19" t="s">
        <v>154</v>
      </c>
      <c r="D6" s="37" t="s">
        <v>123</v>
      </c>
      <c r="E6" s="34"/>
      <c r="F6" s="29" t="s">
        <v>47</v>
      </c>
      <c r="G6" s="41" t="s">
        <v>89</v>
      </c>
      <c r="H6" s="28"/>
      <c r="I6" s="28" t="s">
        <v>155</v>
      </c>
      <c r="J6" s="67" t="s">
        <v>156</v>
      </c>
      <c r="K6" s="217">
        <f>+(3616/27239)</f>
        <v>0.1327508351995301</v>
      </c>
      <c r="L6" s="20" t="s">
        <v>157</v>
      </c>
      <c r="M6" s="44">
        <v>0.14853609747226768</v>
      </c>
      <c r="N6" s="20" t="s">
        <v>158</v>
      </c>
      <c r="O6" s="44">
        <v>0.14630000000000001</v>
      </c>
      <c r="P6" s="20" t="s">
        <v>159</v>
      </c>
      <c r="Q6" s="309">
        <f>+(3748/27804)</f>
        <v>0.13480074809379947</v>
      </c>
      <c r="R6" s="20" t="s">
        <v>160</v>
      </c>
      <c r="S6" s="21"/>
      <c r="T6" s="21"/>
      <c r="U6" s="22"/>
      <c r="V6" s="22"/>
      <c r="W6" s="23"/>
      <c r="X6" s="23">
        <f t="shared" ref="X6:X7" si="0">SUM(U6+V6+W6)</f>
        <v>0</v>
      </c>
      <c r="Y6" s="145">
        <f t="shared" ref="Y6:Y7" si="1">SUM(K6+M6+O6+Q6)</f>
        <v>0.56238768076559731</v>
      </c>
      <c r="Z6" s="24"/>
      <c r="AA6" s="24"/>
    </row>
    <row r="7" spans="1:27" ht="138">
      <c r="A7" s="18">
        <v>2</v>
      </c>
      <c r="B7" s="52" t="s">
        <v>161</v>
      </c>
      <c r="C7" s="19" t="s">
        <v>162</v>
      </c>
      <c r="D7" s="37" t="s">
        <v>123</v>
      </c>
      <c r="E7" s="34" t="s">
        <v>46</v>
      </c>
      <c r="F7" s="29" t="s">
        <v>47</v>
      </c>
      <c r="G7" s="41" t="s">
        <v>48</v>
      </c>
      <c r="H7" s="28"/>
      <c r="I7" s="28" t="s">
        <v>155</v>
      </c>
      <c r="J7" s="4" t="str">
        <f>+J6</f>
        <v>facturacion</v>
      </c>
      <c r="K7" s="44">
        <v>0.25</v>
      </c>
      <c r="L7" s="20" t="s">
        <v>163</v>
      </c>
      <c r="M7" s="44">
        <v>0.25</v>
      </c>
      <c r="N7" s="80" t="s">
        <v>164</v>
      </c>
      <c r="O7" s="44">
        <v>0.25</v>
      </c>
      <c r="P7" s="80" t="s">
        <v>165</v>
      </c>
      <c r="Q7" s="44">
        <v>0.25</v>
      </c>
      <c r="R7" s="80" t="s">
        <v>166</v>
      </c>
      <c r="S7" s="21"/>
      <c r="T7" s="21"/>
      <c r="U7" s="22"/>
      <c r="V7" s="22"/>
      <c r="W7" s="23"/>
      <c r="X7" s="23">
        <f t="shared" si="0"/>
        <v>0</v>
      </c>
      <c r="Y7" s="145">
        <f t="shared" si="1"/>
        <v>1</v>
      </c>
      <c r="Z7" s="24"/>
      <c r="AA7" s="24"/>
    </row>
    <row r="8" spans="1:27" ht="19.5">
      <c r="K8" s="174">
        <f>SUM(K6:K7)/2</f>
        <v>0.19137541759976506</v>
      </c>
      <c r="L8" s="174"/>
      <c r="M8" s="174">
        <f t="shared" ref="L8:R8" si="2">SUM(M6:M7)/2</f>
        <v>0.19926804873613385</v>
      </c>
      <c r="N8" s="174"/>
      <c r="O8" s="174">
        <f t="shared" si="2"/>
        <v>0.19814999999999999</v>
      </c>
      <c r="P8" s="174"/>
      <c r="Q8" s="174">
        <f t="shared" si="2"/>
        <v>0.19240037404689975</v>
      </c>
      <c r="R8" s="174"/>
      <c r="Y8" s="174">
        <f>SUM(Y6:Y7)/2</f>
        <v>0.78119384038279871</v>
      </c>
    </row>
    <row r="9" spans="1:27">
      <c r="L9" s="326"/>
    </row>
    <row r="10" spans="1:27">
      <c r="L10" s="326"/>
    </row>
    <row r="11" spans="1:27" ht="15.75">
      <c r="J11" s="19"/>
      <c r="K11" s="66"/>
      <c r="L11" s="325"/>
    </row>
    <row r="13" spans="1:27">
      <c r="C13" s="66"/>
    </row>
    <row r="15" spans="1:27">
      <c r="O15" s="318"/>
      <c r="P15" s="318"/>
    </row>
    <row r="16" spans="1:27">
      <c r="O16" s="66"/>
      <c r="P16" s="319"/>
    </row>
    <row r="17" spans="17:24">
      <c r="Q17" s="209"/>
    </row>
    <row r="20" spans="17:24">
      <c r="X20" s="209">
        <f>(7+10)/2</f>
        <v>8.5</v>
      </c>
    </row>
    <row r="1048307"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3000000}">
          <x14:formula1>
            <xm:f>'Hoja Formulación'!$C$6:$C$16</xm:f>
          </x14:formula1>
          <xm:sqref>E4:E5</xm:sqref>
        </x14:dataValidation>
        <x14:dataValidation type="list" allowBlank="1" showInputMessage="1" showErrorMessage="1" xr:uid="{00000000-0002-0000-0300-000000000000}">
          <x14:formula1>
            <xm:f>'Hoja Formulación'!$C$6:$C$17</xm:f>
          </x14:formula1>
          <xm:sqref>E6:E7</xm:sqref>
        </x14:dataValidation>
        <x14:dataValidation type="list" allowBlank="1" showInputMessage="1" showErrorMessage="1" xr:uid="{00000000-0002-0000-0300-000001000000}">
          <x14:formula1>
            <xm:f>'Hoja Formulación'!$E$6:$E$16</xm:f>
          </x14:formula1>
          <xm:sqref>G6:G7</xm:sqref>
        </x14:dataValidation>
        <x14:dataValidation type="list" allowBlank="1" showInputMessage="1" showErrorMessage="1" xr:uid="{00000000-0002-0000-0300-000002000000}">
          <x14:formula1>
            <xm:f>'Hoja Formulación'!$D$6:$D$23</xm:f>
          </x14:formula1>
          <xm:sqref>F6:F7</xm:sqref>
        </x14:dataValidation>
        <x14:dataValidation type="list" allowBlank="1" showInputMessage="1" showErrorMessage="1" xr:uid="{00000000-0002-0000-0300-000004000000}">
          <x14:formula1>
            <xm:f>'Hoja Formulación'!$B$6:$B$8</xm:f>
          </x14:formula1>
          <xm:sqref>D4:D7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48310"/>
  <sheetViews>
    <sheetView topLeftCell="G6" zoomScale="130" zoomScaleNormal="130" workbookViewId="0">
      <selection activeCell="C9" sqref="C9"/>
    </sheetView>
  </sheetViews>
  <sheetFormatPr defaultColWidth="11.42578125" defaultRowHeight="10.5"/>
  <cols>
    <col min="1" max="1" width="2.7109375" style="7" customWidth="1"/>
    <col min="2" max="2" width="24.7109375" style="7" customWidth="1"/>
    <col min="3" max="3" width="17.7109375" style="7" customWidth="1"/>
    <col min="4" max="4" width="21.28515625" style="7" customWidth="1"/>
    <col min="5" max="5" width="6.140625" style="36" customWidth="1"/>
    <col min="6" max="6" width="29.5703125" style="7" customWidth="1"/>
    <col min="7" max="7" width="32.28515625" style="42" customWidth="1"/>
    <col min="8" max="8" width="1" style="7" customWidth="1"/>
    <col min="9" max="9" width="11.42578125" style="7" customWidth="1"/>
    <col min="10" max="10" width="14" style="7" customWidth="1"/>
    <col min="11" max="11" width="11.42578125" style="7" customWidth="1"/>
    <col min="12" max="12" width="25.7109375" style="7" customWidth="1"/>
    <col min="13" max="13" width="11.42578125" style="7" customWidth="1"/>
    <col min="14" max="14" width="22.140625" style="7" customWidth="1"/>
    <col min="15" max="15" width="11.42578125" style="7" customWidth="1"/>
    <col min="16" max="16" width="19.85546875" style="7" customWidth="1"/>
    <col min="17" max="17" width="11.42578125" style="7" customWidth="1"/>
    <col min="18" max="18" width="23.85546875" style="7"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53.25" customHeight="1">
      <c r="A6" s="10">
        <v>1</v>
      </c>
      <c r="B6" s="94" t="s">
        <v>167</v>
      </c>
      <c r="C6" s="63" t="s">
        <v>168</v>
      </c>
      <c r="D6" s="37" t="s">
        <v>123</v>
      </c>
      <c r="E6" s="34" t="s">
        <v>46</v>
      </c>
      <c r="F6" s="37" t="s">
        <v>47</v>
      </c>
      <c r="G6" s="41" t="s">
        <v>151</v>
      </c>
      <c r="H6" s="30"/>
      <c r="I6" s="30" t="s">
        <v>38</v>
      </c>
      <c r="J6" s="62" t="s">
        <v>169</v>
      </c>
      <c r="K6" s="43">
        <v>0.25</v>
      </c>
      <c r="L6" s="13" t="s">
        <v>170</v>
      </c>
      <c r="M6" s="43">
        <v>0.25</v>
      </c>
      <c r="N6" s="13" t="s">
        <v>171</v>
      </c>
      <c r="O6" s="43">
        <v>0.25</v>
      </c>
      <c r="P6" s="13" t="s">
        <v>172</v>
      </c>
      <c r="Q6" s="43">
        <v>0.25</v>
      </c>
      <c r="R6" s="13" t="s">
        <v>173</v>
      </c>
      <c r="S6" s="14"/>
      <c r="T6" s="14"/>
      <c r="U6" s="15"/>
      <c r="V6" s="15"/>
      <c r="W6" s="16"/>
      <c r="X6" s="16">
        <f t="shared" ref="X6:X11" si="0">SUM(U6+V6+W6)</f>
        <v>0</v>
      </c>
      <c r="Y6" s="178">
        <f>SUM(K6+M6+O6+Q6)</f>
        <v>1</v>
      </c>
      <c r="Z6" s="17"/>
      <c r="AA6" s="17"/>
    </row>
    <row r="7" spans="1:27" ht="49.5" customHeight="1">
      <c r="A7" s="18">
        <v>2</v>
      </c>
      <c r="B7" s="64" t="s">
        <v>174</v>
      </c>
      <c r="C7" s="64" t="s">
        <v>175</v>
      </c>
      <c r="D7" s="37" t="s">
        <v>123</v>
      </c>
      <c r="E7" s="34" t="s">
        <v>46</v>
      </c>
      <c r="F7" s="29" t="s">
        <v>130</v>
      </c>
      <c r="G7" s="41" t="s">
        <v>131</v>
      </c>
      <c r="H7" s="28"/>
      <c r="I7" s="28" t="s">
        <v>38</v>
      </c>
      <c r="J7" s="62" t="s">
        <v>169</v>
      </c>
      <c r="K7" s="44">
        <v>0.25</v>
      </c>
      <c r="L7" s="20" t="s">
        <v>176</v>
      </c>
      <c r="M7" s="43">
        <v>0.25</v>
      </c>
      <c r="N7" s="20" t="s">
        <v>177</v>
      </c>
      <c r="O7" s="44">
        <v>0.25</v>
      </c>
      <c r="P7" s="20" t="s">
        <v>178</v>
      </c>
      <c r="Q7" s="44">
        <v>0.25</v>
      </c>
      <c r="R7" s="20" t="s">
        <v>179</v>
      </c>
      <c r="S7" s="21"/>
      <c r="T7" s="21"/>
      <c r="U7" s="22"/>
      <c r="V7" s="22"/>
      <c r="W7" s="23"/>
      <c r="X7" s="23">
        <f t="shared" si="0"/>
        <v>0</v>
      </c>
      <c r="Y7" s="179">
        <f t="shared" ref="Y7:Y11" si="1">SUM(K7+M7+O7+Q7)</f>
        <v>1</v>
      </c>
      <c r="Z7" s="24"/>
      <c r="AA7" s="24"/>
    </row>
    <row r="8" spans="1:27" ht="31.5" customHeight="1">
      <c r="A8" s="18">
        <v>3</v>
      </c>
      <c r="B8" s="64" t="s">
        <v>180</v>
      </c>
      <c r="C8" s="64" t="s">
        <v>181</v>
      </c>
      <c r="D8" s="37" t="s">
        <v>123</v>
      </c>
      <c r="E8" s="34" t="s">
        <v>46</v>
      </c>
      <c r="F8" s="29" t="s">
        <v>95</v>
      </c>
      <c r="G8" s="41" t="s">
        <v>48</v>
      </c>
      <c r="H8" s="28"/>
      <c r="I8" s="28" t="s">
        <v>38</v>
      </c>
      <c r="J8" s="62" t="s">
        <v>169</v>
      </c>
      <c r="K8" s="44">
        <v>0.25</v>
      </c>
      <c r="L8" s="301" t="s">
        <v>182</v>
      </c>
      <c r="M8" s="302">
        <v>0</v>
      </c>
      <c r="N8" s="202"/>
      <c r="O8" s="201">
        <v>0</v>
      </c>
      <c r="P8" s="202"/>
      <c r="Q8" s="201">
        <v>0</v>
      </c>
      <c r="R8" s="20"/>
      <c r="S8" s="21"/>
      <c r="T8" s="21"/>
      <c r="U8" s="22"/>
      <c r="V8" s="22"/>
      <c r="W8" s="23"/>
      <c r="X8" s="23">
        <f t="shared" si="0"/>
        <v>0</v>
      </c>
      <c r="Y8" s="179">
        <f t="shared" si="1"/>
        <v>0.25</v>
      </c>
      <c r="Z8" s="24"/>
      <c r="AA8" s="24"/>
    </row>
    <row r="9" spans="1:27" ht="34.5" customHeight="1">
      <c r="A9" s="18">
        <v>4</v>
      </c>
      <c r="B9" s="64" t="s">
        <v>183</v>
      </c>
      <c r="C9" s="64" t="s">
        <v>184</v>
      </c>
      <c r="D9" s="37" t="s">
        <v>123</v>
      </c>
      <c r="E9" s="34" t="s">
        <v>46</v>
      </c>
      <c r="F9" s="29" t="s">
        <v>47</v>
      </c>
      <c r="G9" s="41" t="s">
        <v>151</v>
      </c>
      <c r="H9" s="28"/>
      <c r="I9" s="28" t="s">
        <v>38</v>
      </c>
      <c r="J9" s="62" t="s">
        <v>169</v>
      </c>
      <c r="K9" s="44">
        <v>0.25</v>
      </c>
      <c r="L9" s="20" t="s">
        <v>185</v>
      </c>
      <c r="M9" s="43">
        <v>0.25</v>
      </c>
      <c r="N9" s="20" t="s">
        <v>186</v>
      </c>
      <c r="O9" s="44">
        <v>0.25</v>
      </c>
      <c r="P9" s="265" t="s">
        <v>187</v>
      </c>
      <c r="Q9" s="44">
        <v>0.25</v>
      </c>
      <c r="R9" s="300" t="s">
        <v>188</v>
      </c>
      <c r="S9" s="21"/>
      <c r="T9" s="21"/>
      <c r="U9" s="22"/>
      <c r="V9" s="22"/>
      <c r="W9" s="23"/>
      <c r="X9" s="23">
        <f t="shared" si="0"/>
        <v>0</v>
      </c>
      <c r="Y9" s="179">
        <f t="shared" si="1"/>
        <v>1</v>
      </c>
      <c r="Z9" s="24"/>
      <c r="AA9" s="24"/>
    </row>
    <row r="10" spans="1:27" ht="65.25" customHeight="1">
      <c r="A10" s="18">
        <v>5</v>
      </c>
      <c r="B10" s="62" t="s">
        <v>189</v>
      </c>
      <c r="C10" s="62" t="s">
        <v>190</v>
      </c>
      <c r="D10" s="37" t="s">
        <v>123</v>
      </c>
      <c r="E10" s="34" t="s">
        <v>46</v>
      </c>
      <c r="F10" s="29" t="s">
        <v>130</v>
      </c>
      <c r="G10" s="41" t="s">
        <v>151</v>
      </c>
      <c r="H10" s="28"/>
      <c r="I10" s="28" t="s">
        <v>38</v>
      </c>
      <c r="J10" s="62" t="s">
        <v>169</v>
      </c>
      <c r="K10" s="44">
        <v>0.25</v>
      </c>
      <c r="L10" s="20" t="s">
        <v>191</v>
      </c>
      <c r="M10" s="43">
        <v>0.25</v>
      </c>
      <c r="N10" s="20" t="s">
        <v>192</v>
      </c>
      <c r="O10" s="44">
        <v>0.25</v>
      </c>
      <c r="P10" s="265" t="s">
        <v>193</v>
      </c>
      <c r="Q10" s="44">
        <v>0.25</v>
      </c>
      <c r="R10" s="300" t="s">
        <v>194</v>
      </c>
      <c r="S10" s="21"/>
      <c r="T10" s="21"/>
      <c r="U10" s="22"/>
      <c r="V10" s="22"/>
      <c r="W10" s="23"/>
      <c r="X10" s="23">
        <f t="shared" si="0"/>
        <v>0</v>
      </c>
      <c r="Y10" s="179">
        <f t="shared" si="1"/>
        <v>1</v>
      </c>
      <c r="Z10" s="24"/>
      <c r="AA10" s="24"/>
    </row>
    <row r="11" spans="1:27" ht="95.25">
      <c r="A11" s="18">
        <v>6</v>
      </c>
      <c r="B11" s="52" t="s">
        <v>195</v>
      </c>
      <c r="C11" s="19" t="s">
        <v>196</v>
      </c>
      <c r="D11" s="37" t="s">
        <v>123</v>
      </c>
      <c r="E11" s="34" t="s">
        <v>46</v>
      </c>
      <c r="F11" s="29" t="s">
        <v>58</v>
      </c>
      <c r="G11" s="41" t="s">
        <v>151</v>
      </c>
      <c r="H11" s="28"/>
      <c r="I11" s="28" t="s">
        <v>38</v>
      </c>
      <c r="J11" s="150" t="s">
        <v>169</v>
      </c>
      <c r="K11" s="44">
        <v>0.25</v>
      </c>
      <c r="L11" s="20" t="s">
        <v>197</v>
      </c>
      <c r="M11" s="43">
        <v>0.25</v>
      </c>
      <c r="N11" s="20" t="s">
        <v>198</v>
      </c>
      <c r="O11" s="44">
        <v>0.25</v>
      </c>
      <c r="P11" s="265" t="s">
        <v>199</v>
      </c>
      <c r="Q11" s="44">
        <v>0.25</v>
      </c>
      <c r="R11" s="300" t="s">
        <v>200</v>
      </c>
      <c r="S11" s="21"/>
      <c r="T11" s="21"/>
      <c r="U11" s="22"/>
      <c r="V11" s="22"/>
      <c r="W11" s="23"/>
      <c r="X11" s="23">
        <f t="shared" si="0"/>
        <v>0</v>
      </c>
      <c r="Y11" s="179">
        <f t="shared" si="1"/>
        <v>1</v>
      </c>
      <c r="Z11" s="24"/>
      <c r="AA11" s="24"/>
    </row>
    <row r="12" spans="1:27" ht="19.5">
      <c r="K12" s="175">
        <f>SUM(K6:K11)/6</f>
        <v>0.25</v>
      </c>
      <c r="L12" s="175"/>
      <c r="M12" s="175">
        <f t="shared" ref="L12:R12" si="2">SUM(M6:M11)/6</f>
        <v>0.20833333333333334</v>
      </c>
      <c r="N12" s="175"/>
      <c r="O12" s="175">
        <f t="shared" si="2"/>
        <v>0.20833333333333334</v>
      </c>
      <c r="P12" s="175"/>
      <c r="Q12" s="175">
        <f t="shared" si="2"/>
        <v>0.20833333333333334</v>
      </c>
      <c r="R12" s="175"/>
      <c r="Y12" s="175">
        <f>SUM(Y6:Y11)/6</f>
        <v>0.875</v>
      </c>
    </row>
    <row r="1048310"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'Hoja Formulación'!$B$6:$B$8</xm:f>
          </x14:formula1>
          <xm:sqref>D4:D11</xm:sqref>
        </x14:dataValidation>
        <x14:dataValidation type="list" allowBlank="1" showInputMessage="1" showErrorMessage="1" xr:uid="{00000000-0002-0000-0400-000001000000}">
          <x14:formula1>
            <xm:f>'Hoja Formulación'!$C$6:$C$16</xm:f>
          </x14:formula1>
          <xm:sqref>E4:E5</xm:sqref>
        </x14:dataValidation>
        <x14:dataValidation type="list" allowBlank="1" showInputMessage="1" showErrorMessage="1" xr:uid="{00000000-0002-0000-0400-000002000000}">
          <x14:formula1>
            <xm:f>'Hoja Formulación'!$D$6:$D$23</xm:f>
          </x14:formula1>
          <xm:sqref>F6:F11</xm:sqref>
        </x14:dataValidation>
        <x14:dataValidation type="list" allowBlank="1" showInputMessage="1" showErrorMessage="1" xr:uid="{00000000-0002-0000-0400-000003000000}">
          <x14:formula1>
            <xm:f>'Hoja Formulación'!$E$6:$E$16</xm:f>
          </x14:formula1>
          <xm:sqref>G6:G11</xm:sqref>
        </x14:dataValidation>
        <x14:dataValidation type="list" allowBlank="1" showInputMessage="1" showErrorMessage="1" xr:uid="{00000000-0002-0000-0400-000004000000}">
          <x14:formula1>
            <xm:f>'Hoja Formulación'!$C$6:$C$17</xm:f>
          </x14:formula1>
          <xm:sqref>E6:E11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048310"/>
  <sheetViews>
    <sheetView topLeftCell="B5" zoomScale="130" zoomScaleNormal="130" workbookViewId="0">
      <selection activeCell="B49" sqref="B49"/>
    </sheetView>
  </sheetViews>
  <sheetFormatPr defaultColWidth="11.42578125" defaultRowHeight="13.5"/>
  <cols>
    <col min="1" max="1" width="11.42578125" style="59"/>
    <col min="2" max="2" width="35" style="59" customWidth="1"/>
    <col min="3" max="3" width="22.28515625" style="59" customWidth="1"/>
    <col min="4" max="4" width="30.28515625" style="59" bestFit="1" customWidth="1"/>
    <col min="5" max="5" width="7.28515625" style="59" bestFit="1" customWidth="1"/>
    <col min="6" max="6" width="24.7109375" style="59" customWidth="1"/>
    <col min="7" max="7" width="32.28515625" style="59" customWidth="1"/>
    <col min="8" max="9" width="11.42578125" style="59" customWidth="1"/>
    <col min="10" max="10" width="14" style="59" customWidth="1"/>
    <col min="11" max="11" width="11.42578125" style="59" customWidth="1"/>
    <col min="12" max="12" width="17.7109375" style="59" customWidth="1"/>
    <col min="13" max="13" width="11.42578125" style="59" customWidth="1"/>
    <col min="14" max="14" width="14.5703125" style="59" bestFit="1" customWidth="1"/>
    <col min="15" max="15" width="11.42578125" style="59" customWidth="1"/>
    <col min="16" max="16" width="14.5703125" style="59" bestFit="1" customWidth="1"/>
    <col min="17" max="17" width="11.42578125" style="59" customWidth="1"/>
    <col min="18" max="18" width="14.5703125" style="59" bestFit="1" customWidth="1"/>
    <col min="19" max="21" width="11.42578125" style="59" customWidth="1"/>
    <col min="22" max="22" width="17.85546875" style="59" customWidth="1"/>
    <col min="23" max="23" width="11.42578125" style="59" customWidth="1"/>
    <col min="24" max="24" width="13.42578125" style="59" customWidth="1"/>
    <col min="25" max="25" width="11.42578125" style="59" customWidth="1"/>
    <col min="26" max="27" width="15.85546875" style="59" customWidth="1"/>
    <col min="28" max="16364" width="11.42578125" style="59" customWidth="1"/>
    <col min="16365" max="16384" width="11.42578125" style="59"/>
  </cols>
  <sheetData>
    <row r="1" spans="1:27" s="65" customFormat="1" ht="30" customHeight="1">
      <c r="A1" s="336" t="s">
        <v>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row>
    <row r="2" spans="1:27" s="65" customFormat="1" ht="21.75" customHeight="1">
      <c r="A2" s="337" t="s">
        <v>1</v>
      </c>
      <c r="B2" s="339" t="s">
        <v>2</v>
      </c>
      <c r="C2" s="339" t="s">
        <v>3</v>
      </c>
      <c r="D2" s="339" t="s">
        <v>4</v>
      </c>
      <c r="E2" s="339"/>
      <c r="F2" s="339"/>
      <c r="G2" s="339"/>
      <c r="H2" s="339"/>
      <c r="I2" s="339"/>
      <c r="J2" s="339" t="s">
        <v>5</v>
      </c>
      <c r="K2" s="339" t="s">
        <v>6</v>
      </c>
      <c r="L2" s="339"/>
      <c r="M2" s="339"/>
      <c r="N2" s="339"/>
      <c r="O2" s="339"/>
      <c r="P2" s="339"/>
      <c r="Q2" s="339"/>
      <c r="R2" s="339"/>
      <c r="S2" s="339" t="s">
        <v>7</v>
      </c>
      <c r="T2" s="339"/>
      <c r="U2" s="339" t="s">
        <v>8</v>
      </c>
      <c r="V2" s="339"/>
      <c r="W2" s="339"/>
      <c r="X2" s="339"/>
      <c r="Y2" s="339" t="s">
        <v>9</v>
      </c>
      <c r="Z2" s="339" t="s">
        <v>10</v>
      </c>
      <c r="AA2" s="339" t="s">
        <v>11</v>
      </c>
    </row>
    <row r="3" spans="1:27" s="65" customFormat="1" ht="24" customHeight="1">
      <c r="A3" s="338"/>
      <c r="B3" s="339"/>
      <c r="C3" s="339"/>
      <c r="D3" s="340" t="s">
        <v>12</v>
      </c>
      <c r="E3" s="339" t="s">
        <v>13</v>
      </c>
      <c r="F3" s="339" t="s">
        <v>14</v>
      </c>
      <c r="G3" s="60" t="s">
        <v>15</v>
      </c>
      <c r="H3" s="339" t="s">
        <v>16</v>
      </c>
      <c r="I3" s="339"/>
      <c r="J3" s="339"/>
      <c r="K3" s="342" t="s">
        <v>17</v>
      </c>
      <c r="L3" s="342"/>
      <c r="M3" s="342" t="s">
        <v>18</v>
      </c>
      <c r="N3" s="342"/>
      <c r="O3" s="342" t="s">
        <v>19</v>
      </c>
      <c r="P3" s="342"/>
      <c r="Q3" s="342" t="s">
        <v>20</v>
      </c>
      <c r="R3" s="342"/>
      <c r="S3" s="343" t="s">
        <v>21</v>
      </c>
      <c r="T3" s="343" t="s">
        <v>22</v>
      </c>
      <c r="U3" s="343" t="s">
        <v>23</v>
      </c>
      <c r="V3" s="343" t="s">
        <v>24</v>
      </c>
      <c r="W3" s="339" t="s">
        <v>25</v>
      </c>
      <c r="X3" s="339" t="s">
        <v>26</v>
      </c>
      <c r="Y3" s="339"/>
      <c r="Z3" s="339"/>
      <c r="AA3" s="339"/>
    </row>
    <row r="4" spans="1:27" s="65" customFormat="1" ht="17.25" customHeight="1">
      <c r="A4" s="338"/>
      <c r="B4" s="339"/>
      <c r="C4" s="339"/>
      <c r="D4" s="340"/>
      <c r="E4" s="339"/>
      <c r="F4" s="341"/>
      <c r="G4" s="60" t="s">
        <v>27</v>
      </c>
      <c r="H4" s="60" t="s">
        <v>28</v>
      </c>
      <c r="I4" s="60" t="s">
        <v>29</v>
      </c>
      <c r="J4" s="339"/>
      <c r="K4" s="60" t="s">
        <v>30</v>
      </c>
      <c r="L4" s="60" t="s">
        <v>31</v>
      </c>
      <c r="M4" s="60" t="s">
        <v>30</v>
      </c>
      <c r="N4" s="60" t="s">
        <v>31</v>
      </c>
      <c r="O4" s="60" t="s">
        <v>30</v>
      </c>
      <c r="P4" s="60" t="s">
        <v>31</v>
      </c>
      <c r="Q4" s="60" t="s">
        <v>30</v>
      </c>
      <c r="R4" s="60" t="s">
        <v>31</v>
      </c>
      <c r="S4" s="343"/>
      <c r="T4" s="343"/>
      <c r="U4" s="343"/>
      <c r="V4" s="343"/>
      <c r="W4" s="339"/>
      <c r="X4" s="339"/>
      <c r="Y4" s="339"/>
      <c r="Z4" s="339"/>
      <c r="AA4" s="339"/>
    </row>
    <row r="5" spans="1:27" ht="84" customHeight="1">
      <c r="A5" s="104">
        <v>1</v>
      </c>
      <c r="B5" s="106" t="s">
        <v>201</v>
      </c>
      <c r="C5" s="105" t="s">
        <v>202</v>
      </c>
      <c r="D5" s="106" t="s">
        <v>123</v>
      </c>
      <c r="E5" s="106" t="s">
        <v>46</v>
      </c>
      <c r="F5" s="106" t="s">
        <v>203</v>
      </c>
      <c r="G5" s="106" t="s">
        <v>204</v>
      </c>
      <c r="H5" s="107" t="s">
        <v>49</v>
      </c>
      <c r="I5" s="107"/>
      <c r="J5" s="108" t="s">
        <v>205</v>
      </c>
      <c r="K5" s="44">
        <v>0.25</v>
      </c>
      <c r="L5" s="109" t="s">
        <v>206</v>
      </c>
      <c r="M5" s="79">
        <v>0.25</v>
      </c>
      <c r="N5" s="109" t="s">
        <v>207</v>
      </c>
      <c r="O5" s="79">
        <v>0.25</v>
      </c>
      <c r="P5" s="109" t="s">
        <v>208</v>
      </c>
      <c r="Q5" s="203">
        <v>0.25</v>
      </c>
      <c r="R5" s="109" t="s">
        <v>208</v>
      </c>
      <c r="S5" s="185" t="s">
        <v>209</v>
      </c>
      <c r="T5" s="185" t="s">
        <v>210</v>
      </c>
      <c r="U5" s="110" t="s">
        <v>211</v>
      </c>
      <c r="V5" s="110"/>
      <c r="W5" s="110" t="s">
        <v>211</v>
      </c>
      <c r="X5" s="110" t="s">
        <v>211</v>
      </c>
      <c r="Y5" s="181">
        <f t="shared" ref="Y5:Y10" si="0">SUM(K5+M5+O5+Q5)</f>
        <v>1</v>
      </c>
      <c r="Z5" s="111"/>
      <c r="AA5" s="111" t="s">
        <v>212</v>
      </c>
    </row>
    <row r="6" spans="1:27" ht="50.25" customHeight="1">
      <c r="A6" s="104">
        <v>2</v>
      </c>
      <c r="B6" s="176" t="s">
        <v>213</v>
      </c>
      <c r="C6" s="105" t="s">
        <v>214</v>
      </c>
      <c r="D6" s="106" t="s">
        <v>123</v>
      </c>
      <c r="E6" s="106" t="s">
        <v>46</v>
      </c>
      <c r="F6" s="106" t="s">
        <v>203</v>
      </c>
      <c r="G6" s="106" t="s">
        <v>204</v>
      </c>
      <c r="H6" s="107" t="s">
        <v>49</v>
      </c>
      <c r="I6" s="107"/>
      <c r="J6" s="108" t="s">
        <v>205</v>
      </c>
      <c r="K6" s="44">
        <v>0.25</v>
      </c>
      <c r="L6" s="109" t="s">
        <v>215</v>
      </c>
      <c r="M6" s="44">
        <v>0.25</v>
      </c>
      <c r="N6" s="109" t="s">
        <v>216</v>
      </c>
      <c r="O6" s="79">
        <v>0.25</v>
      </c>
      <c r="P6" s="109" t="s">
        <v>215</v>
      </c>
      <c r="Q6" s="203">
        <v>0.25</v>
      </c>
      <c r="R6" s="109" t="s">
        <v>217</v>
      </c>
      <c r="S6" s="185" t="s">
        <v>209</v>
      </c>
      <c r="T6" s="185" t="s">
        <v>210</v>
      </c>
      <c r="U6" s="110" t="s">
        <v>211</v>
      </c>
      <c r="V6" s="110"/>
      <c r="W6" s="110" t="s">
        <v>211</v>
      </c>
      <c r="X6" s="110" t="s">
        <v>211</v>
      </c>
      <c r="Y6" s="181">
        <f t="shared" si="0"/>
        <v>1</v>
      </c>
      <c r="Z6" s="111"/>
      <c r="AA6" s="111" t="s">
        <v>218</v>
      </c>
    </row>
    <row r="7" spans="1:27" ht="53.25" customHeight="1">
      <c r="A7" s="104">
        <v>3</v>
      </c>
      <c r="B7" s="177" t="s">
        <v>219</v>
      </c>
      <c r="C7" s="105" t="s">
        <v>214</v>
      </c>
      <c r="D7" s="106" t="s">
        <v>123</v>
      </c>
      <c r="E7" s="106" t="s">
        <v>46</v>
      </c>
      <c r="F7" s="106" t="s">
        <v>203</v>
      </c>
      <c r="G7" s="106" t="s">
        <v>204</v>
      </c>
      <c r="H7" s="107" t="s">
        <v>49</v>
      </c>
      <c r="I7" s="107"/>
      <c r="J7" s="108" t="s">
        <v>205</v>
      </c>
      <c r="K7" s="44">
        <v>0.25</v>
      </c>
      <c r="L7" s="109" t="s">
        <v>220</v>
      </c>
      <c r="M7" s="44">
        <v>0.25</v>
      </c>
      <c r="N7" s="109" t="s">
        <v>221</v>
      </c>
      <c r="O7" s="79">
        <v>0.25</v>
      </c>
      <c r="P7" s="109" t="s">
        <v>222</v>
      </c>
      <c r="Q7" s="203">
        <v>0.25</v>
      </c>
      <c r="R7" s="109" t="s">
        <v>223</v>
      </c>
      <c r="S7" s="185" t="s">
        <v>209</v>
      </c>
      <c r="T7" s="185" t="s">
        <v>210</v>
      </c>
      <c r="U7" s="110" t="s">
        <v>211</v>
      </c>
      <c r="V7" s="110"/>
      <c r="W7" s="110" t="s">
        <v>211</v>
      </c>
      <c r="X7" s="110" t="s">
        <v>211</v>
      </c>
      <c r="Y7" s="181">
        <f t="shared" si="0"/>
        <v>1</v>
      </c>
      <c r="Z7" s="111"/>
      <c r="AA7" s="111" t="s">
        <v>212</v>
      </c>
    </row>
    <row r="8" spans="1:27" ht="74.25" customHeight="1">
      <c r="A8" s="104">
        <v>4</v>
      </c>
      <c r="B8" s="106" t="s">
        <v>224</v>
      </c>
      <c r="C8" s="105" t="s">
        <v>225</v>
      </c>
      <c r="D8" s="106" t="s">
        <v>123</v>
      </c>
      <c r="E8" s="106" t="s">
        <v>46</v>
      </c>
      <c r="F8" s="106" t="s">
        <v>203</v>
      </c>
      <c r="G8" s="106" t="s">
        <v>204</v>
      </c>
      <c r="H8" s="107" t="s">
        <v>49</v>
      </c>
      <c r="I8" s="107"/>
      <c r="J8" s="112" t="s">
        <v>205</v>
      </c>
      <c r="K8" s="44">
        <v>0.25</v>
      </c>
      <c r="L8" s="109" t="s">
        <v>226</v>
      </c>
      <c r="M8" s="79">
        <v>0.25</v>
      </c>
      <c r="N8" s="109" t="s">
        <v>227</v>
      </c>
      <c r="O8" s="203">
        <v>0.25</v>
      </c>
      <c r="P8" s="284" t="s">
        <v>228</v>
      </c>
      <c r="Q8" s="203">
        <v>0.25</v>
      </c>
      <c r="R8" s="109" t="s">
        <v>229</v>
      </c>
      <c r="S8" s="185" t="s">
        <v>209</v>
      </c>
      <c r="T8" s="185" t="s">
        <v>210</v>
      </c>
      <c r="U8" s="110" t="s">
        <v>211</v>
      </c>
      <c r="V8" s="110"/>
      <c r="W8" s="110" t="s">
        <v>211</v>
      </c>
      <c r="X8" s="110" t="s">
        <v>211</v>
      </c>
      <c r="Y8" s="181">
        <f>SUM(K8+M8+O8+Q8)</f>
        <v>1</v>
      </c>
      <c r="Z8" s="111"/>
      <c r="AA8" s="111" t="s">
        <v>218</v>
      </c>
    </row>
    <row r="9" spans="1:27" ht="50.25" customHeight="1">
      <c r="A9" s="104">
        <v>5</v>
      </c>
      <c r="B9" s="106" t="s">
        <v>230</v>
      </c>
      <c r="C9" s="105" t="s">
        <v>231</v>
      </c>
      <c r="D9" s="106" t="s">
        <v>123</v>
      </c>
      <c r="E9" s="106" t="s">
        <v>46</v>
      </c>
      <c r="F9" s="106" t="s">
        <v>58</v>
      </c>
      <c r="G9" s="106" t="s">
        <v>48</v>
      </c>
      <c r="H9" s="107" t="s">
        <v>49</v>
      </c>
      <c r="I9" s="107"/>
      <c r="J9" s="112" t="s">
        <v>205</v>
      </c>
      <c r="K9" s="79">
        <v>0.25</v>
      </c>
      <c r="L9" s="113" t="s">
        <v>232</v>
      </c>
      <c r="M9" s="44">
        <v>0.25</v>
      </c>
      <c r="N9" s="109" t="s">
        <v>233</v>
      </c>
      <c r="O9" s="203">
        <v>0.25</v>
      </c>
      <c r="P9" s="284" t="s">
        <v>234</v>
      </c>
      <c r="Q9" s="203">
        <v>0.25</v>
      </c>
      <c r="R9" s="109" t="s">
        <v>233</v>
      </c>
      <c r="S9" s="185" t="s">
        <v>209</v>
      </c>
      <c r="T9" s="185" t="s">
        <v>210</v>
      </c>
      <c r="U9" s="110" t="s">
        <v>211</v>
      </c>
      <c r="V9" s="110"/>
      <c r="W9" s="110" t="s">
        <v>211</v>
      </c>
      <c r="X9" s="110" t="s">
        <v>211</v>
      </c>
      <c r="Y9" s="181">
        <f>SUM(K9+M9+O9+Q9)</f>
        <v>1</v>
      </c>
      <c r="Z9" s="111"/>
      <c r="AA9" s="111" t="s">
        <v>218</v>
      </c>
    </row>
    <row r="10" spans="1:27" ht="74.25">
      <c r="A10" s="104">
        <v>6</v>
      </c>
      <c r="B10" s="106" t="s">
        <v>235</v>
      </c>
      <c r="C10" s="105" t="s">
        <v>236</v>
      </c>
      <c r="D10" s="106" t="s">
        <v>123</v>
      </c>
      <c r="E10" s="106" t="s">
        <v>46</v>
      </c>
      <c r="F10" s="106" t="s">
        <v>58</v>
      </c>
      <c r="G10" s="106" t="s">
        <v>48</v>
      </c>
      <c r="H10" s="107" t="s">
        <v>49</v>
      </c>
      <c r="I10" s="107"/>
      <c r="J10" s="112" t="s">
        <v>205</v>
      </c>
      <c r="K10" s="28">
        <v>0.25</v>
      </c>
      <c r="L10" s="107" t="s">
        <v>237</v>
      </c>
      <c r="M10" s="44">
        <v>0.25</v>
      </c>
      <c r="N10" s="184" t="s">
        <v>238</v>
      </c>
      <c r="O10" s="203">
        <v>0.25</v>
      </c>
      <c r="P10" s="184" t="s">
        <v>238</v>
      </c>
      <c r="Q10" s="203">
        <v>0.25</v>
      </c>
      <c r="R10" s="184" t="s">
        <v>238</v>
      </c>
      <c r="S10" s="185" t="s">
        <v>209</v>
      </c>
      <c r="T10" s="185" t="s">
        <v>210</v>
      </c>
      <c r="U10" s="110" t="s">
        <v>211</v>
      </c>
      <c r="V10" s="110"/>
      <c r="W10" s="110" t="s">
        <v>211</v>
      </c>
      <c r="X10" s="110" t="s">
        <v>211</v>
      </c>
      <c r="Y10" s="181">
        <f t="shared" si="0"/>
        <v>1</v>
      </c>
      <c r="Z10" s="111"/>
      <c r="AA10" s="111" t="s">
        <v>218</v>
      </c>
    </row>
    <row r="11" spans="1:27" ht="19.5">
      <c r="K11" s="180">
        <f>SUM(K5:K10)/6</f>
        <v>0.25</v>
      </c>
      <c r="L11" s="180"/>
      <c r="M11" s="180">
        <f t="shared" ref="M11:Q11" si="1">SUM(M5:M10)/6</f>
        <v>0.25</v>
      </c>
      <c r="N11" s="180"/>
      <c r="O11" s="180">
        <f>SUM(O5:O10)/6</f>
        <v>0.25</v>
      </c>
      <c r="P11" s="180"/>
      <c r="Q11" s="180">
        <f t="shared" si="1"/>
        <v>0.25</v>
      </c>
      <c r="R11" s="180"/>
      <c r="Y11" s="182">
        <f>SUM(Y5:Y10)/6</f>
        <v>1</v>
      </c>
    </row>
    <row r="1048310" ht="15" customHeight="1"/>
  </sheetData>
  <mergeCells count="26">
    <mergeCell ref="S3:S4"/>
    <mergeCell ref="T3:T4"/>
    <mergeCell ref="U3:U4"/>
    <mergeCell ref="V3:V4"/>
    <mergeCell ref="W3:W4"/>
    <mergeCell ref="H3:I3"/>
    <mergeCell ref="K3:L3"/>
    <mergeCell ref="M3:N3"/>
    <mergeCell ref="O3:P3"/>
    <mergeCell ref="Q3:R3"/>
    <mergeCell ref="A1:AA1"/>
    <mergeCell ref="A2:A4"/>
    <mergeCell ref="B2:B4"/>
    <mergeCell ref="C2:C4"/>
    <mergeCell ref="D2:I2"/>
    <mergeCell ref="J2:J4"/>
    <mergeCell ref="K2:R2"/>
    <mergeCell ref="S2:T2"/>
    <mergeCell ref="U2:X2"/>
    <mergeCell ref="Y2:Y4"/>
    <mergeCell ref="X3:X4"/>
    <mergeCell ref="Z2:Z4"/>
    <mergeCell ref="AA2:AA4"/>
    <mergeCell ref="D3:D4"/>
    <mergeCell ref="E3:E4"/>
    <mergeCell ref="F3:F4"/>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'Hoja Formulación'!$C$6:$C$16</xm:f>
          </x14:formula1>
          <xm:sqref>E3:E4</xm:sqref>
        </x14:dataValidation>
        <x14:dataValidation type="list" allowBlank="1" showInputMessage="1" showErrorMessage="1" xr:uid="{00000000-0002-0000-0600-000000000000}">
          <x14:formula1>
            <xm:f>'Hoja Formulación'!$B$6:$B$8</xm:f>
          </x14:formula1>
          <xm:sqref>D3:D10</xm:sqref>
        </x14:dataValidation>
        <x14:dataValidation type="list" allowBlank="1" showInputMessage="1" showErrorMessage="1" xr:uid="{00000000-0002-0000-0600-000002000000}">
          <x14:formula1>
            <xm:f>'Hoja Formulación'!$D$6:$D$23</xm:f>
          </x14:formula1>
          <xm:sqref>F5:F10</xm:sqref>
        </x14:dataValidation>
        <x14:dataValidation type="list" allowBlank="1" showInputMessage="1" showErrorMessage="1" xr:uid="{00000000-0002-0000-0600-000003000000}">
          <x14:formula1>
            <xm:f>'Hoja Formulación'!$E$6:$E$16</xm:f>
          </x14:formula1>
          <xm:sqref>G5:G10</xm:sqref>
        </x14:dataValidation>
        <x14:dataValidation type="list" allowBlank="1" showInputMessage="1" showErrorMessage="1" xr:uid="{00000000-0002-0000-0600-000004000000}">
          <x14:formula1>
            <xm:f>'Hoja Formulación'!$C$6:$C$17</xm:f>
          </x14:formula1>
          <xm:sqref>E5:E10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48321"/>
  <sheetViews>
    <sheetView tabSelected="1" zoomScale="130" zoomScaleNormal="130" workbookViewId="0">
      <selection activeCell="E12" sqref="E12"/>
    </sheetView>
  </sheetViews>
  <sheetFormatPr defaultColWidth="11.42578125" defaultRowHeight="10.5"/>
  <cols>
    <col min="1" max="1" width="11.42578125" style="7"/>
    <col min="2" max="2" width="25.28515625" style="7" customWidth="1"/>
    <col min="3" max="3" width="22.28515625" style="7" customWidth="1"/>
    <col min="4" max="4" width="30.28515625" style="7" bestFit="1" customWidth="1"/>
    <col min="5" max="5" width="24.5703125" style="36"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19.5703125" style="7" customWidth="1"/>
    <col min="13" max="13" width="11.42578125" style="7" customWidth="1"/>
    <col min="14" max="14" width="34.28515625" style="7" customWidth="1"/>
    <col min="15" max="15" width="11.42578125" style="7" customWidth="1"/>
    <col min="16" max="16" width="30.5703125" style="7"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32"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32"/>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62.25" customHeight="1">
      <c r="A6" s="10">
        <v>1</v>
      </c>
      <c r="B6" s="61" t="s">
        <v>239</v>
      </c>
      <c r="C6" s="61" t="s">
        <v>240</v>
      </c>
      <c r="D6" s="37" t="s">
        <v>34</v>
      </c>
      <c r="E6" s="34" t="s">
        <v>46</v>
      </c>
      <c r="F6" s="37" t="s">
        <v>130</v>
      </c>
      <c r="G6" s="41" t="s">
        <v>131</v>
      </c>
      <c r="H6" s="30" t="s">
        <v>38</v>
      </c>
      <c r="I6" s="30"/>
      <c r="J6" s="62" t="s">
        <v>241</v>
      </c>
      <c r="K6" s="43">
        <v>0</v>
      </c>
      <c r="L6" s="109" t="s">
        <v>242</v>
      </c>
      <c r="M6" s="43">
        <v>0.25</v>
      </c>
      <c r="N6" s="13" t="s">
        <v>243</v>
      </c>
      <c r="O6" s="43">
        <v>0.25</v>
      </c>
      <c r="P6" s="13" t="s">
        <v>244</v>
      </c>
      <c r="Q6" s="43">
        <v>0.25</v>
      </c>
      <c r="R6" s="13" t="s">
        <v>244</v>
      </c>
      <c r="S6" s="14"/>
      <c r="T6" s="14"/>
      <c r="U6" s="15"/>
      <c r="V6" s="15"/>
      <c r="W6" s="16"/>
      <c r="X6" s="16">
        <f>SUM(U6+V6+W6)</f>
        <v>0</v>
      </c>
      <c r="Y6" s="165">
        <f>SUM(K6+M6+O6+Q6)</f>
        <v>0.75</v>
      </c>
      <c r="Z6" s="17"/>
      <c r="AA6" s="17"/>
    </row>
    <row r="7" spans="1:27" ht="48.75" customHeight="1">
      <c r="A7" s="18">
        <v>2</v>
      </c>
      <c r="B7" s="99" t="s">
        <v>245</v>
      </c>
      <c r="C7" s="99" t="s">
        <v>246</v>
      </c>
      <c r="D7" s="37" t="s">
        <v>123</v>
      </c>
      <c r="E7" s="34" t="s">
        <v>46</v>
      </c>
      <c r="F7" s="29" t="s">
        <v>130</v>
      </c>
      <c r="G7" s="41" t="s">
        <v>48</v>
      </c>
      <c r="H7" s="28"/>
      <c r="I7" s="28" t="s">
        <v>38</v>
      </c>
      <c r="J7" s="62" t="s">
        <v>241</v>
      </c>
      <c r="K7" s="44">
        <v>0</v>
      </c>
      <c r="L7" s="147" t="s">
        <v>247</v>
      </c>
      <c r="M7" s="44">
        <v>0.25</v>
      </c>
      <c r="N7" s="20" t="s">
        <v>248</v>
      </c>
      <c r="O7" s="44">
        <v>0.25</v>
      </c>
      <c r="P7" s="20" t="s">
        <v>249</v>
      </c>
      <c r="Q7" s="44">
        <v>0.25</v>
      </c>
      <c r="R7" s="20" t="s">
        <v>250</v>
      </c>
      <c r="S7" s="21"/>
      <c r="T7" s="21"/>
      <c r="U7" s="22"/>
      <c r="V7" s="22"/>
      <c r="W7" s="23"/>
      <c r="X7" s="23">
        <f t="shared" ref="X7:X10" si="0">SUM(U7+V7+W7)</f>
        <v>0</v>
      </c>
      <c r="Y7" s="145">
        <f t="shared" ref="Y7:Y10" si="1">SUM(K7+M7+O7+Q7)</f>
        <v>0.75</v>
      </c>
      <c r="Z7" s="24"/>
      <c r="AA7" s="24"/>
    </row>
    <row r="8" spans="1:27" ht="82.5" customHeight="1">
      <c r="A8" s="18">
        <v>3</v>
      </c>
      <c r="B8" s="61" t="s">
        <v>251</v>
      </c>
      <c r="C8" s="99" t="s">
        <v>252</v>
      </c>
      <c r="D8" s="37" t="s">
        <v>71</v>
      </c>
      <c r="E8" s="34" t="s">
        <v>46</v>
      </c>
      <c r="F8" s="29" t="s">
        <v>130</v>
      </c>
      <c r="G8" s="41" t="s">
        <v>253</v>
      </c>
      <c r="H8" s="28"/>
      <c r="I8" s="28" t="s">
        <v>38</v>
      </c>
      <c r="J8" s="62" t="s">
        <v>241</v>
      </c>
      <c r="K8" s="44">
        <v>0.25</v>
      </c>
      <c r="L8" s="20" t="s">
        <v>254</v>
      </c>
      <c r="M8" s="44">
        <f>(25*0.25)/100</f>
        <v>6.25E-2</v>
      </c>
      <c r="N8" s="20" t="s">
        <v>255</v>
      </c>
      <c r="O8" s="44">
        <v>0.25</v>
      </c>
      <c r="P8" s="20" t="s">
        <v>256</v>
      </c>
      <c r="Q8" s="44">
        <v>0.25</v>
      </c>
      <c r="R8" s="20" t="s">
        <v>257</v>
      </c>
      <c r="S8" s="21"/>
      <c r="T8" s="21"/>
      <c r="U8" s="22"/>
      <c r="V8" s="22"/>
      <c r="W8" s="23"/>
      <c r="X8" s="23">
        <f t="shared" si="0"/>
        <v>0</v>
      </c>
      <c r="Y8" s="145">
        <f t="shared" si="1"/>
        <v>0.8125</v>
      </c>
      <c r="Z8" s="24"/>
      <c r="AA8" s="24"/>
    </row>
    <row r="9" spans="1:27" ht="56.25" customHeight="1">
      <c r="A9" s="18">
        <v>4</v>
      </c>
      <c r="B9" s="62" t="s">
        <v>258</v>
      </c>
      <c r="C9" s="61" t="s">
        <v>259</v>
      </c>
      <c r="D9" s="37" t="s">
        <v>123</v>
      </c>
      <c r="E9" s="34" t="s">
        <v>46</v>
      </c>
      <c r="F9" s="29" t="s">
        <v>130</v>
      </c>
      <c r="G9" s="41" t="s">
        <v>131</v>
      </c>
      <c r="H9" s="28" t="s">
        <v>38</v>
      </c>
      <c r="I9" s="28"/>
      <c r="J9" s="62" t="s">
        <v>241</v>
      </c>
      <c r="K9" s="44">
        <v>0.25</v>
      </c>
      <c r="L9" s="20" t="s">
        <v>260</v>
      </c>
      <c r="M9" s="44">
        <v>0.25</v>
      </c>
      <c r="N9" s="20" t="s">
        <v>261</v>
      </c>
      <c r="O9" s="44">
        <v>0.25</v>
      </c>
      <c r="P9" s="20" t="s">
        <v>262</v>
      </c>
      <c r="Q9" s="44">
        <v>0.25</v>
      </c>
      <c r="R9" s="20" t="s">
        <v>263</v>
      </c>
      <c r="S9" s="21"/>
      <c r="T9" s="21"/>
      <c r="U9" s="22"/>
      <c r="V9" s="22"/>
      <c r="W9" s="23"/>
      <c r="X9" s="23">
        <f t="shared" si="0"/>
        <v>0</v>
      </c>
      <c r="Y9" s="145">
        <f t="shared" si="1"/>
        <v>1</v>
      </c>
      <c r="Z9" s="24"/>
      <c r="AA9" s="24"/>
    </row>
    <row r="10" spans="1:27" ht="64.5" customHeight="1">
      <c r="A10" s="18">
        <v>5</v>
      </c>
      <c r="B10" s="62" t="s">
        <v>264</v>
      </c>
      <c r="C10" s="62" t="s">
        <v>265</v>
      </c>
      <c r="D10" s="37" t="s">
        <v>123</v>
      </c>
      <c r="E10" s="34" t="s">
        <v>46</v>
      </c>
      <c r="F10" s="29" t="s">
        <v>47</v>
      </c>
      <c r="G10" s="41" t="s">
        <v>131</v>
      </c>
      <c r="H10" s="28" t="s">
        <v>38</v>
      </c>
      <c r="I10" s="28"/>
      <c r="J10" s="62" t="s">
        <v>241</v>
      </c>
      <c r="K10" s="44">
        <v>0.25</v>
      </c>
      <c r="L10" s="20" t="s">
        <v>266</v>
      </c>
      <c r="M10" s="44">
        <v>0.25</v>
      </c>
      <c r="N10" s="20" t="s">
        <v>267</v>
      </c>
      <c r="O10" s="44">
        <v>0.25</v>
      </c>
      <c r="P10" s="20" t="s">
        <v>268</v>
      </c>
      <c r="Q10" s="44">
        <v>0.25</v>
      </c>
      <c r="R10" s="20" t="s">
        <v>269</v>
      </c>
      <c r="S10" s="21"/>
      <c r="T10" s="21"/>
      <c r="U10" s="22"/>
      <c r="V10" s="22"/>
      <c r="W10" s="23"/>
      <c r="X10" s="23">
        <f t="shared" si="0"/>
        <v>0</v>
      </c>
      <c r="Y10" s="145">
        <f t="shared" si="1"/>
        <v>1</v>
      </c>
      <c r="Z10" s="24"/>
      <c r="AA10" s="24"/>
    </row>
    <row r="11" spans="1:27" ht="19.5">
      <c r="K11" s="171">
        <f>SUM(K6:K10)/5</f>
        <v>0.15</v>
      </c>
      <c r="L11" s="171"/>
      <c r="M11" s="171">
        <f t="shared" ref="L11:R11" si="2">SUM(M6:M10)/5</f>
        <v>0.21249999999999999</v>
      </c>
      <c r="N11" s="171"/>
      <c r="O11" s="171">
        <f t="shared" si="2"/>
        <v>0.25</v>
      </c>
      <c r="P11" s="171"/>
      <c r="Q11" s="171">
        <f t="shared" si="2"/>
        <v>0.25</v>
      </c>
      <c r="R11" s="171"/>
      <c r="Y11" s="171">
        <f>SUM(Y6:Y10)/5</f>
        <v>0.86250000000000004</v>
      </c>
    </row>
    <row r="14" spans="1:27">
      <c r="H14" s="66"/>
      <c r="L14" s="66"/>
    </row>
    <row r="15" spans="1:27">
      <c r="H15" s="66"/>
    </row>
    <row r="17" spans="8:10">
      <c r="H17" s="7">
        <f>(50+75+75)/3</f>
        <v>66.666666666666671</v>
      </c>
      <c r="J17" s="7">
        <v>50</v>
      </c>
    </row>
    <row r="18" spans="8:10">
      <c r="J18" s="7">
        <v>75</v>
      </c>
    </row>
    <row r="19" spans="8:10">
      <c r="J19" s="7">
        <v>75</v>
      </c>
    </row>
    <row r="20" spans="8:10">
      <c r="J20" s="7">
        <f>SUM(J17:J19)/3</f>
        <v>66.666666666666671</v>
      </c>
    </row>
    <row r="1048310" ht="15" customHeight="1"/>
    <row r="1048311" ht="12.75"/>
    <row r="1048321" ht="12.75"/>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'Hoja Formulación'!$C$6:$C$16</xm:f>
          </x14:formula1>
          <xm:sqref>E4:E5</xm:sqref>
        </x14:dataValidation>
        <x14:dataValidation type="list" allowBlank="1" showInputMessage="1" showErrorMessage="1" xr:uid="{00000000-0002-0000-0500-000000000000}">
          <x14:formula1>
            <xm:f>'Hoja Formulación'!$B$6:$B$8</xm:f>
          </x14:formula1>
          <xm:sqref>D4:D10</xm:sqref>
        </x14:dataValidation>
        <x14:dataValidation type="list" allowBlank="1" showInputMessage="1" showErrorMessage="1" xr:uid="{00000000-0002-0000-0500-000002000000}">
          <x14:formula1>
            <xm:f>'Hoja Formulación'!$D$6:$D$23</xm:f>
          </x14:formula1>
          <xm:sqref>F6:F10</xm:sqref>
        </x14:dataValidation>
        <x14:dataValidation type="list" allowBlank="1" showInputMessage="1" showErrorMessage="1" xr:uid="{00000000-0002-0000-0500-000003000000}">
          <x14:formula1>
            <xm:f>'Hoja Formulación'!$E$6:$E$16</xm:f>
          </x14:formula1>
          <xm:sqref>G6:G10</xm:sqref>
        </x14:dataValidation>
        <x14:dataValidation type="list" allowBlank="1" showInputMessage="1" showErrorMessage="1" xr:uid="{00000000-0002-0000-0500-000004000000}">
          <x14:formula1>
            <xm:f>'Hoja Formulación'!$C$6:$C$17</xm:f>
          </x14:formula1>
          <xm:sqref>E6:E10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48305"/>
  <sheetViews>
    <sheetView topLeftCell="E1" zoomScale="130" zoomScaleNormal="130" workbookViewId="0">
      <selection activeCell="S19" sqref="S19"/>
    </sheetView>
  </sheetViews>
  <sheetFormatPr defaultColWidth="11.42578125" defaultRowHeight="10.5"/>
  <cols>
    <col min="1" max="1" width="11.42578125" style="7"/>
    <col min="2" max="2" width="40.42578125" style="7" bestFit="1" customWidth="1"/>
    <col min="3" max="3" width="22.28515625" style="7" customWidth="1"/>
    <col min="4" max="4" width="30.28515625" style="7" bestFit="1" customWidth="1"/>
    <col min="5" max="5" width="63.85546875" style="36" bestFit="1" customWidth="1"/>
    <col min="6" max="6" width="38" style="7" bestFit="1" customWidth="1"/>
    <col min="7" max="7" width="55.85546875" style="42" bestFit="1" customWidth="1"/>
    <col min="8" max="9" width="11.42578125" style="7" customWidth="1"/>
    <col min="10" max="10" width="14" style="7" customWidth="1"/>
    <col min="11" max="11" width="11.42578125" style="7" customWidth="1"/>
    <col min="12" max="12" width="14.85546875" style="7" customWidth="1"/>
    <col min="13" max="13" width="11.42578125" style="7" customWidth="1"/>
    <col min="14" max="14" width="14.5703125" style="7" bestFit="1" customWidth="1"/>
    <col min="15" max="15" width="11.42578125" style="7" customWidth="1"/>
    <col min="16" max="16" width="14.5703125" style="7" bestFit="1" customWidth="1"/>
    <col min="17" max="17" width="11.42578125" style="7" customWidth="1"/>
    <col min="18" max="18" width="14.5703125" style="7" bestFit="1" customWidth="1"/>
    <col min="19" max="21" width="11.42578125" style="7" customWidth="1"/>
    <col min="22" max="22" width="17.85546875" style="7" customWidth="1"/>
    <col min="23" max="23" width="11.42578125" style="7" customWidth="1"/>
    <col min="24" max="24" width="13.42578125" style="7" customWidth="1"/>
    <col min="25" max="25" width="11.42578125" style="7" customWidth="1"/>
    <col min="26" max="27" width="15.85546875" style="7" customWidth="1"/>
    <col min="28" max="16364" width="11.42578125" style="7" customWidth="1"/>
    <col min="16365" max="16384" width="11.42578125" style="7"/>
  </cols>
  <sheetData>
    <row r="1" spans="1:27" ht="30"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27">
      <c r="C2" s="8"/>
      <c r="D2" s="38"/>
      <c r="E2" s="35"/>
      <c r="F2" s="9"/>
      <c r="G2" s="40"/>
      <c r="H2" s="9"/>
      <c r="I2" s="9"/>
      <c r="J2" s="9"/>
      <c r="K2" s="9"/>
      <c r="L2" s="9"/>
      <c r="M2" s="9"/>
      <c r="N2" s="9"/>
      <c r="O2" s="9"/>
      <c r="P2" s="9"/>
      <c r="Q2" s="9"/>
      <c r="R2" s="9"/>
      <c r="S2" s="9"/>
      <c r="T2" s="9"/>
      <c r="U2" s="9"/>
      <c r="V2" s="9"/>
      <c r="W2" s="9"/>
      <c r="X2" s="9"/>
      <c r="Y2" s="9"/>
      <c r="Z2" s="9"/>
      <c r="AA2" s="9"/>
    </row>
    <row r="3" spans="1:27" ht="21.75" customHeight="1">
      <c r="A3" s="328" t="s">
        <v>1</v>
      </c>
      <c r="B3" s="330" t="s">
        <v>2</v>
      </c>
      <c r="C3" s="331" t="s">
        <v>3</v>
      </c>
      <c r="D3" s="330" t="s">
        <v>4</v>
      </c>
      <c r="E3" s="330"/>
      <c r="F3" s="330"/>
      <c r="G3" s="330"/>
      <c r="H3" s="330"/>
      <c r="I3" s="330"/>
      <c r="J3" s="330" t="s">
        <v>5</v>
      </c>
      <c r="K3" s="330" t="s">
        <v>6</v>
      </c>
      <c r="L3" s="330"/>
      <c r="M3" s="330"/>
      <c r="N3" s="330"/>
      <c r="O3" s="330"/>
      <c r="P3" s="330"/>
      <c r="Q3" s="330"/>
      <c r="R3" s="330"/>
      <c r="S3" s="330" t="s">
        <v>7</v>
      </c>
      <c r="T3" s="330"/>
      <c r="U3" s="330" t="s">
        <v>8</v>
      </c>
      <c r="V3" s="330"/>
      <c r="W3" s="330"/>
      <c r="X3" s="330"/>
      <c r="Y3" s="330" t="s">
        <v>9</v>
      </c>
      <c r="Z3" s="330" t="s">
        <v>10</v>
      </c>
      <c r="AA3" s="330" t="s">
        <v>11</v>
      </c>
    </row>
    <row r="4" spans="1:27" ht="24" customHeight="1">
      <c r="A4" s="329"/>
      <c r="B4" s="330"/>
      <c r="C4" s="331"/>
      <c r="D4" s="344" t="s">
        <v>12</v>
      </c>
      <c r="E4" s="332" t="s">
        <v>13</v>
      </c>
      <c r="F4" s="330" t="s">
        <v>14</v>
      </c>
      <c r="G4" s="39" t="s">
        <v>15</v>
      </c>
      <c r="H4" s="330" t="s">
        <v>16</v>
      </c>
      <c r="I4" s="330"/>
      <c r="J4" s="330"/>
      <c r="K4" s="334" t="s">
        <v>17</v>
      </c>
      <c r="L4" s="334"/>
      <c r="M4" s="334" t="s">
        <v>18</v>
      </c>
      <c r="N4" s="334"/>
      <c r="O4" s="334" t="s">
        <v>19</v>
      </c>
      <c r="P4" s="334"/>
      <c r="Q4" s="334" t="s">
        <v>20</v>
      </c>
      <c r="R4" s="334"/>
      <c r="S4" s="335" t="s">
        <v>21</v>
      </c>
      <c r="T4" s="335" t="s">
        <v>22</v>
      </c>
      <c r="U4" s="335" t="s">
        <v>23</v>
      </c>
      <c r="V4" s="335" t="s">
        <v>24</v>
      </c>
      <c r="W4" s="330" t="s">
        <v>25</v>
      </c>
      <c r="X4" s="330" t="s">
        <v>26</v>
      </c>
      <c r="Y4" s="330"/>
      <c r="Z4" s="330"/>
      <c r="AA4" s="330"/>
    </row>
    <row r="5" spans="1:27" ht="17.25" customHeight="1">
      <c r="A5" s="329"/>
      <c r="B5" s="330"/>
      <c r="C5" s="331"/>
      <c r="D5" s="345"/>
      <c r="E5" s="332"/>
      <c r="F5" s="333"/>
      <c r="G5" s="39" t="s">
        <v>27</v>
      </c>
      <c r="H5" s="5" t="s">
        <v>28</v>
      </c>
      <c r="I5" s="5" t="s">
        <v>29</v>
      </c>
      <c r="J5" s="330"/>
      <c r="K5" s="5" t="s">
        <v>30</v>
      </c>
      <c r="L5" s="5" t="s">
        <v>31</v>
      </c>
      <c r="M5" s="5" t="s">
        <v>30</v>
      </c>
      <c r="N5" s="5" t="s">
        <v>31</v>
      </c>
      <c r="O5" s="5" t="s">
        <v>30</v>
      </c>
      <c r="P5" s="5" t="s">
        <v>31</v>
      </c>
      <c r="Q5" s="5" t="s">
        <v>30</v>
      </c>
      <c r="R5" s="5" t="s">
        <v>31</v>
      </c>
      <c r="S5" s="335"/>
      <c r="T5" s="335"/>
      <c r="U5" s="335"/>
      <c r="V5" s="335"/>
      <c r="W5" s="330"/>
      <c r="X5" s="330"/>
      <c r="Y5" s="330"/>
      <c r="Z5" s="330"/>
      <c r="AA5" s="330"/>
    </row>
    <row r="6" spans="1:27" ht="41.25" customHeight="1">
      <c r="A6" s="10">
        <v>1</v>
      </c>
      <c r="B6" s="283" t="s">
        <v>270</v>
      </c>
      <c r="C6" s="11" t="s">
        <v>271</v>
      </c>
      <c r="D6" s="37" t="s">
        <v>34</v>
      </c>
      <c r="E6" s="34" t="s">
        <v>46</v>
      </c>
      <c r="F6" s="37" t="s">
        <v>272</v>
      </c>
      <c r="G6" s="41" t="s">
        <v>48</v>
      </c>
      <c r="H6" s="30"/>
      <c r="I6" s="30" t="s">
        <v>38</v>
      </c>
      <c r="J6" s="12" t="s">
        <v>273</v>
      </c>
      <c r="K6" s="43">
        <v>0.25</v>
      </c>
      <c r="L6" s="13" t="s">
        <v>274</v>
      </c>
      <c r="M6" s="43">
        <v>0.25</v>
      </c>
      <c r="N6" s="13" t="s">
        <v>274</v>
      </c>
      <c r="O6" s="43">
        <v>0.25</v>
      </c>
      <c r="P6" s="13" t="s">
        <v>274</v>
      </c>
      <c r="Q6" s="43">
        <v>0.25</v>
      </c>
      <c r="R6" s="13" t="s">
        <v>274</v>
      </c>
      <c r="S6" s="14">
        <v>44927</v>
      </c>
      <c r="T6" s="14" t="s">
        <v>275</v>
      </c>
      <c r="U6" s="15"/>
      <c r="V6" s="15"/>
      <c r="W6" s="16"/>
      <c r="X6" s="16">
        <f t="shared" ref="X6" si="0">SUM(U6+V6+W6)</f>
        <v>0</v>
      </c>
      <c r="Y6" s="183">
        <f>SUM(K6+M6+O6+Q6)</f>
        <v>1</v>
      </c>
      <c r="Z6" s="17"/>
      <c r="AA6" s="17"/>
    </row>
    <row r="7" spans="1:27" ht="19.5">
      <c r="K7" s="174">
        <f>K6</f>
        <v>0.25</v>
      </c>
      <c r="L7" s="174"/>
      <c r="M7" s="174">
        <f t="shared" ref="L7:Q7" si="1">M6</f>
        <v>0.25</v>
      </c>
      <c r="N7" s="174"/>
      <c r="O7" s="174">
        <f t="shared" si="1"/>
        <v>0.25</v>
      </c>
      <c r="P7" s="174"/>
      <c r="Q7" s="174">
        <f t="shared" si="1"/>
        <v>0.25</v>
      </c>
      <c r="Y7" s="171">
        <f>Y6</f>
        <v>1</v>
      </c>
    </row>
    <row r="1048305" ht="15" customHeight="1"/>
  </sheetData>
  <mergeCells count="26">
    <mergeCell ref="S4:S5"/>
    <mergeCell ref="T4:T5"/>
    <mergeCell ref="U4:U5"/>
    <mergeCell ref="V4:V5"/>
    <mergeCell ref="W4:W5"/>
    <mergeCell ref="H4:I4"/>
    <mergeCell ref="K4:L4"/>
    <mergeCell ref="M4:N4"/>
    <mergeCell ref="O4:P4"/>
    <mergeCell ref="Q4:R4"/>
    <mergeCell ref="A1:AA1"/>
    <mergeCell ref="A3:A5"/>
    <mergeCell ref="B3:B5"/>
    <mergeCell ref="C3:C5"/>
    <mergeCell ref="D3:I3"/>
    <mergeCell ref="J3:J5"/>
    <mergeCell ref="K3:R3"/>
    <mergeCell ref="S3:T3"/>
    <mergeCell ref="U3:X3"/>
    <mergeCell ref="Y3:Y5"/>
    <mergeCell ref="X4:X5"/>
    <mergeCell ref="Z3:Z5"/>
    <mergeCell ref="AA3:AA5"/>
    <mergeCell ref="D4:D5"/>
    <mergeCell ref="E4:E5"/>
    <mergeCell ref="F4:F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'Hoja Formulación'!$C$6:$C$17</xm:f>
          </x14:formula1>
          <xm:sqref>E6</xm:sqref>
        </x14:dataValidation>
        <x14:dataValidation type="list" allowBlank="1" showInputMessage="1" showErrorMessage="1" xr:uid="{00000000-0002-0000-0700-000001000000}">
          <x14:formula1>
            <xm:f>'Hoja Formulación'!$E$6:$E$16</xm:f>
          </x14:formula1>
          <xm:sqref>G6</xm:sqref>
        </x14:dataValidation>
        <x14:dataValidation type="list" allowBlank="1" showInputMessage="1" showErrorMessage="1" xr:uid="{00000000-0002-0000-0700-000002000000}">
          <x14:formula1>
            <xm:f>'Hoja Formulación'!$D$6:$D$23</xm:f>
          </x14:formula1>
          <xm:sqref>F6</xm:sqref>
        </x14:dataValidation>
        <x14:dataValidation type="list" allowBlank="1" showInputMessage="1" showErrorMessage="1" xr:uid="{00000000-0002-0000-0700-000003000000}">
          <x14:formula1>
            <xm:f>'Hoja Formulación'!$C$6:$C$16</xm:f>
          </x14:formula1>
          <xm:sqref>E4:E5</xm:sqref>
        </x14:dataValidation>
        <x14:dataValidation type="list" allowBlank="1" showInputMessage="1" showErrorMessage="1" xr:uid="{00000000-0002-0000-0700-000004000000}">
          <x14:formula1>
            <xm:f>'Hoja Formulación'!$B$6:$B$8</xm:f>
          </x14:formula1>
          <xm:sqref>D4:D6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ESPAQuim</dc:creator>
  <cp:keywords/>
  <dc:description/>
  <cp:lastModifiedBy/>
  <cp:revision/>
  <dcterms:created xsi:type="dcterms:W3CDTF">2021-01-18T15:44:20Z</dcterms:created>
  <dcterms:modified xsi:type="dcterms:W3CDTF">2024-05-03T12:45:34Z</dcterms:modified>
  <cp:category/>
  <cp:contentStatus/>
</cp:coreProperties>
</file>